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w_g\Downloads\"/>
    </mc:Choice>
  </mc:AlternateContent>
  <xr:revisionPtr revIDLastSave="0" documentId="13_ncr:1_{5AAD734C-8246-40D1-A6F2-7C7FFC6C80B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ow-To" sheetId="1" r:id="rId1"/>
    <sheet name="Dashboard" sheetId="6" r:id="rId2"/>
    <sheet name="Study Setup" sheetId="3" r:id="rId3"/>
    <sheet name="Data Collection" sheetId="4" r:id="rId4"/>
    <sheet name="GRR Calculations" sheetId="5" r:id="rId5"/>
    <sheet name="Constants Reference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4" l="1"/>
  <c r="J18" i="4"/>
  <c r="I18" i="4"/>
  <c r="H18" i="4"/>
  <c r="G18" i="4"/>
  <c r="F18" i="4"/>
  <c r="E18" i="4"/>
  <c r="D18" i="4"/>
  <c r="C18" i="4"/>
  <c r="K17" i="4"/>
  <c r="J17" i="4"/>
  <c r="I17" i="4"/>
  <c r="H17" i="4"/>
  <c r="G17" i="4"/>
  <c r="F17" i="4"/>
  <c r="E17" i="4"/>
  <c r="D17" i="4"/>
  <c r="C17" i="4"/>
  <c r="K12" i="4"/>
  <c r="J12" i="4"/>
  <c r="I12" i="4"/>
  <c r="H12" i="4"/>
  <c r="G12" i="4"/>
  <c r="F12" i="4"/>
  <c r="E12" i="4"/>
  <c r="D12" i="4"/>
  <c r="C12" i="4"/>
  <c r="K11" i="4"/>
  <c r="J11" i="4"/>
  <c r="I11" i="4"/>
  <c r="H11" i="4"/>
  <c r="G11" i="4"/>
  <c r="F11" i="4"/>
  <c r="E11" i="4"/>
  <c r="D11" i="4"/>
  <c r="C11" i="4"/>
  <c r="K6" i="4"/>
  <c r="J6" i="4"/>
  <c r="I6" i="4"/>
  <c r="H6" i="4"/>
  <c r="G6" i="4"/>
  <c r="F6" i="4"/>
  <c r="E6" i="4"/>
  <c r="D6" i="4"/>
  <c r="C6" i="4"/>
  <c r="K5" i="4"/>
  <c r="J5" i="4"/>
  <c r="I5" i="4"/>
  <c r="H5" i="4"/>
  <c r="G5" i="4"/>
  <c r="F5" i="4"/>
  <c r="E5" i="4"/>
  <c r="D5" i="4"/>
  <c r="C5" i="4"/>
  <c r="B18" i="4"/>
  <c r="B17" i="4"/>
  <c r="B12" i="4"/>
  <c r="C19" i="6" s="1" a="1"/>
  <c r="B11" i="4"/>
  <c r="B6" i="4"/>
  <c r="B19" i="6" s="1" a="1"/>
  <c r="B5" i="4"/>
  <c r="E28" i="6"/>
  <c r="D28" i="6" a="1"/>
  <c r="C28" i="6" a="1"/>
  <c r="B28" i="6" a="1"/>
  <c r="A28" i="6"/>
  <c r="E27" i="6"/>
  <c r="D27" i="6" a="1"/>
  <c r="C27" i="6" a="1"/>
  <c r="B27" i="6" a="1"/>
  <c r="A27" i="6"/>
  <c r="E26" i="6"/>
  <c r="D26" i="6" a="1"/>
  <c r="C26" i="6" a="1"/>
  <c r="B26" i="6" a="1"/>
  <c r="A26" i="6"/>
  <c r="E25" i="6"/>
  <c r="D25" i="6" a="1"/>
  <c r="C25" i="6" a="1"/>
  <c r="B25" i="6" a="1"/>
  <c r="A25" i="6"/>
  <c r="E24" i="6"/>
  <c r="D24" i="6" a="1"/>
  <c r="C24" i="6" a="1"/>
  <c r="B24" i="6" a="1"/>
  <c r="A24" i="6"/>
  <c r="D23" i="6" a="1"/>
  <c r="A23" i="6"/>
  <c r="D22" i="6" a="1"/>
  <c r="A22" i="6"/>
  <c r="D21" i="6" a="1"/>
  <c r="A21" i="6"/>
  <c r="D20" i="6" a="1"/>
  <c r="A20" i="6"/>
  <c r="D19" i="6" a="1"/>
  <c r="A19" i="6"/>
  <c r="E17" i="6"/>
  <c r="B6" i="6"/>
  <c r="B5" i="6"/>
  <c r="B4" i="6"/>
  <c r="B3" i="6"/>
  <c r="B10" i="5"/>
  <c r="B9" i="5"/>
  <c r="B8" i="5"/>
  <c r="B5" i="5"/>
  <c r="B4" i="5"/>
  <c r="B3" i="5"/>
  <c r="B2" i="5"/>
  <c r="B26" i="4"/>
  <c r="B22" i="4"/>
  <c r="C23" i="6" a="1"/>
  <c r="C22" i="6" a="1"/>
  <c r="C21" i="6" a="1"/>
  <c r="C20" i="6" a="1"/>
  <c r="B23" i="6" a="1"/>
  <c r="B22" i="6" a="1"/>
  <c r="B21" i="6" a="1"/>
  <c r="B20" i="6" a="1"/>
  <c r="K1" i="4"/>
  <c r="J1" i="4"/>
  <c r="I1" i="4"/>
  <c r="H1" i="4"/>
  <c r="G1" i="4"/>
  <c r="F1" i="4"/>
  <c r="E1" i="4"/>
  <c r="D1" i="4"/>
  <c r="C1" i="4"/>
  <c r="B1" i="4"/>
  <c r="B25" i="4" l="1"/>
  <c r="B21" i="4"/>
  <c r="B20" i="4"/>
  <c r="B24" i="4"/>
  <c r="B28" i="4"/>
  <c r="B15" i="5" s="1"/>
  <c r="B21" i="5" s="1"/>
  <c r="B23" i="4" l="1"/>
  <c r="B13" i="5" s="1"/>
  <c r="B27" i="4"/>
  <c r="B14" i="5" s="1"/>
  <c r="E23" i="6" l="1"/>
  <c r="E22" i="6"/>
  <c r="E20" i="6"/>
  <c r="E21" i="6"/>
  <c r="B18" i="5"/>
  <c r="B19" i="5" s="1"/>
  <c r="B20" i="5" s="1"/>
  <c r="E19" i="6"/>
  <c r="B27" i="5" l="1"/>
  <c r="B22" i="5"/>
  <c r="B35" i="5" s="1"/>
  <c r="B11" i="6" s="1"/>
  <c r="B26" i="5"/>
  <c r="B31" i="5" l="1"/>
  <c r="E6" i="6"/>
  <c r="B30" i="5"/>
  <c r="E5" i="6"/>
  <c r="B38" i="5"/>
  <c r="B14" i="6" s="1"/>
  <c r="B36" i="5"/>
  <c r="B12" i="6" s="1"/>
  <c r="B37" i="5"/>
  <c r="B13" i="6" s="1"/>
  <c r="B25" i="5"/>
  <c r="B29" i="5" l="1"/>
  <c r="B32" i="5" s="1"/>
  <c r="E3" i="6" s="1"/>
  <c r="E4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<sst xmlns="http://schemas.openxmlformats.org/spreadsheetml/2006/main" count="128" uniqueCount="119">
  <si>
    <t>Gage R&amp;R / MSA Study Template</t>
  </si>
  <si>
    <t>What this workbook is for</t>
  </si>
  <si>
    <t>How to use it</t>
  </si>
  <si>
    <t>Reference</t>
  </si>
  <si>
    <t>Full method and a worked example: sixsigmakaizen.com/guides/measurement-system-analysis/</t>
  </si>
  <si>
    <t>Companion calculator: sixsigmakaizen.com/tools/gauge-rr-calculator/</t>
  </si>
  <si>
    <t>K1 (by number of trials)</t>
  </si>
  <si>
    <t>Trials</t>
  </si>
  <si>
    <t>K1</t>
  </si>
  <si>
    <t>K2 (by number of operators)</t>
  </si>
  <si>
    <t>Operators</t>
  </si>
  <si>
    <t>K2</t>
  </si>
  <si>
    <t>K3 (by number of parts)</t>
  </si>
  <si>
    <t>Parts</t>
  </si>
  <si>
    <t>K3</t>
  </si>
  <si>
    <t>Source: standard AIAG MSA Average-Range method K1/K2/K3 constants.</t>
  </si>
  <si>
    <t>Gage / Instrument ID:</t>
  </si>
  <si>
    <t>Digital bore gage #14</t>
  </si>
  <si>
    <t>Characteristic measured:</t>
  </si>
  <si>
    <t>Bore diameter</t>
  </si>
  <si>
    <t>Tolerance (USL-LSL):</t>
  </si>
  <si>
    <t>Operator A name:</t>
  </si>
  <si>
    <t>Operator A</t>
  </si>
  <si>
    <t>Operator B name:</t>
  </si>
  <si>
    <t>Operator B</t>
  </si>
  <si>
    <t>Prepared by:</t>
  </si>
  <si>
    <t>Enter name</t>
  </si>
  <si>
    <t>Date:</t>
  </si>
  <si>
    <t>Enter date</t>
  </si>
  <si>
    <t>Operator / Trial</t>
  </si>
  <si>
    <t>Operator A — Trial 1</t>
  </si>
  <si>
    <t>Operator A — Trial 2</t>
  </si>
  <si>
    <t>Operator A — Trial 3</t>
  </si>
  <si>
    <t>Operator A average (by part)</t>
  </si>
  <si>
    <t>Operator A range (by part)</t>
  </si>
  <si>
    <t>Operator B — Trial 1</t>
  </si>
  <si>
    <t>Operator B — Trial 2</t>
  </si>
  <si>
    <t>Operator B — Trial 3</t>
  </si>
  <si>
    <t>Operator B average (by part)</t>
  </si>
  <si>
    <t>Operator B range (by part)</t>
  </si>
  <si>
    <t>R-bar A (average range, Operator A):</t>
  </si>
  <si>
    <t>R-bar B (average range, Operator B):</t>
  </si>
  <si>
    <t>R-double-bar (average of operator R-bars):</t>
  </si>
  <si>
    <t>X-bar A (grand average, Operator A):</t>
  </si>
  <si>
    <t>X-bar B (grand average, Operator B):</t>
  </si>
  <si>
    <t>Trials:</t>
  </si>
  <si>
    <t>Operators:</t>
  </si>
  <si>
    <t>Parts:</t>
  </si>
  <si>
    <t>Tolerance:</t>
  </si>
  <si>
    <t>EV (Equipment Variation = R-double-bar x K1):</t>
  </si>
  <si>
    <t>AV (Appraiser Variation):</t>
  </si>
  <si>
    <t>GRR (=SQRT(EV^2 + AV^2)):</t>
  </si>
  <si>
    <t>PV (Part Variation = Rp x K3):</t>
  </si>
  <si>
    <t>TV (Total Variation = SQRT(GRR^2 + PV^2)):</t>
  </si>
  <si>
    <t>%Study Variation (=100 x GRR / TV):</t>
  </si>
  <si>
    <t>%Tolerance (=100 x 5.15 x GRR / Tolerance):</t>
  </si>
  <si>
    <t>%Study Variation verdict:</t>
  </si>
  <si>
    <t>%Tolerance verdict:</t>
  </si>
  <si>
    <t>ndc verdict (&gt;=5 is generally desired):</t>
  </si>
  <si>
    <t>Note: %Study Variation and %Tolerance can disagree — a gage tight relative to tolerance but loose relative to observed part variation (or vice versa) will show different verdicts. Review both before accepting or rejecting a gage.</t>
  </si>
  <si>
    <t>STUDY SETUP</t>
  </si>
  <si>
    <t>Number of parts (2-10):</t>
  </si>
  <si>
    <t>Number of operators (2-3):</t>
  </si>
  <si>
    <t>Number of trials (2-3):</t>
  </si>
  <si>
    <t>Operator C name (if 3 operators):</t>
  </si>
  <si>
    <t>Legend: yellow cells are inputs you fill in. Number of parts/operators/trials control the size of the study on 'Data Collection' and 'GRR Calculations' automatically.</t>
  </si>
  <si>
    <t>D4 (R-chart UCL factor, by number of trials)</t>
  </si>
  <si>
    <t>D4</t>
  </si>
  <si>
    <t>Source: standard Shewhart control chart D4 constants (d2/D3/D4 tables), used for R-chart upper control limit = R-double-bar x D4.</t>
  </si>
  <si>
    <t>Operator C — Trial 1</t>
  </si>
  <si>
    <t>Operator C — Trial 2</t>
  </si>
  <si>
    <t>Operator C — Trial 3</t>
  </si>
  <si>
    <t>Operator C average (by part)</t>
  </si>
  <si>
    <t>Operator C range (by part)</t>
  </si>
  <si>
    <t>R-bar C (average range, Operator C):</t>
  </si>
  <si>
    <t>X-bar C (grand average, Operator C):</t>
  </si>
  <si>
    <t>X-diff (range of operator averages):</t>
  </si>
  <si>
    <t>Rp (range of part averages, pooled):</t>
  </si>
  <si>
    <t>Summary statistics (feed GRR Calculations)</t>
  </si>
  <si>
    <t>STUDY PARAMETERS (linked from Study Setup)</t>
  </si>
  <si>
    <t>AIAG CONSTANTS (from Constants Reference)</t>
  </si>
  <si>
    <t>K1 (by trials):</t>
  </si>
  <si>
    <t>K2 (by operators):</t>
  </si>
  <si>
    <t>K3 (by parts):</t>
  </si>
  <si>
    <t>INPUTS FROM DATA COLLECTION</t>
  </si>
  <si>
    <t>R-double-bar (average range):</t>
  </si>
  <si>
    <t>GAGE R&amp;R RESULTS</t>
  </si>
  <si>
    <t>ASSESSMENT</t>
  </si>
  <si>
    <t>ndc (distinct categories = 1.41 x PV/GRR):</t>
  </si>
  <si>
    <t>OVERALL GAGE VERDICT:</t>
  </si>
  <si>
    <t>COMPONENTS OF VARIATION (% of Total Variation, for chart)</t>
  </si>
  <si>
    <t>EV % of TV:</t>
  </si>
  <si>
    <t>AV % of TV:</t>
  </si>
  <si>
    <t>GRR % of TV:</t>
  </si>
  <si>
    <t>PV % of TV:</t>
  </si>
  <si>
    <t>GAGE R&amp;R / MSA DASHBOARD</t>
  </si>
  <si>
    <t>OVERALL VERDICT:</t>
  </si>
  <si>
    <t>%Study Variation:</t>
  </si>
  <si>
    <t>%Tolerance:</t>
  </si>
  <si>
    <t>ndc:</t>
  </si>
  <si>
    <t>CHART DATA — Components of Variation (auto-linked, do not edit)</t>
  </si>
  <si>
    <t>Component</t>
  </si>
  <si>
    <t>% of Total Variation</t>
  </si>
  <si>
    <t>EV (Repeatability)</t>
  </si>
  <si>
    <t>AV (Reproducibility)</t>
  </si>
  <si>
    <t>GRR (Total Gage)</t>
  </si>
  <si>
    <t>PV (Part Variation)</t>
  </si>
  <si>
    <t>CHART DATA — Range Chart by Part (auto-linked, do not edit)</t>
  </si>
  <si>
    <t>D4 (UCL factor):</t>
  </si>
  <si>
    <t>Part</t>
  </si>
  <si>
    <t>Operator C</t>
  </si>
  <si>
    <t>UCL</t>
  </si>
  <si>
    <t>This workbook runs a crossed Gage R&amp;R study using the AIAG Average-Range method. It scales from 2-10 parts, 2-3 operators, and 2-3 trials, and separates total measurement variation into repeatability (equipment) and reproducibility (appraiser) components.</t>
  </si>
  <si>
    <t>1. On 'Study Setup', fill in the blue input cells: gage ID, characteristic, tolerance, and pick your part count (2-10), operator count (2-3), and trial count (2-3) from the dropdowns.</t>
  </si>
  <si>
    <t>2. Have each operator measure every part, in random order, for all trials, without seeing other operators' readings. Enter results in the yellow cells on 'Data Collection'. Unused rows/columns beyond your chosen counts grey out automatically.</t>
  </si>
  <si>
    <t>3. 'GRR Calculations' computes EV, AV, GRR, PV, TV, %Study Variation, %Tolerance, ndc, and an overall ACCEPT / REVIEW / REJECT verdict automatically.</t>
  </si>
  <si>
    <t>4. 'Dashboard' gives a one-page summary: verdict scorecard, a Components-of-Variation chart, and a Range chart by part to visually check repeatability.</t>
  </si>
  <si>
    <t>5. A gage is generally considered acceptable below 10% Study Variation, marginal 10-30%, and unacceptable above 30% — but always check %Tolerance too, since the two can disagree.</t>
  </si>
  <si>
    <t>Sheet guide: Dashboard (summary) → Study Setup (inputs) → Data Collection (raw readings) → GRR Calculations (results) → Constants Reference (AIAG lookup tables, locked).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</si>
</sst>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7" formatCode="0.0&quot;%&quot;"/>
  </numFmts>
  <fonts count="21" x14ac:knownFonts="1">
    <font>
      <sz val="11"/>
      <color theme="1"/>
      <name val="Calibri"/>
      <family val="2"/>
      <scheme val="minor"/>
    </font>
    <font>
      <b/>
      <sz val="16"/>
      <color rgb="FF153F8A"/>
      <name val="Arial"/>
    </font>
    <font>
      <b/>
      <sz val="12"/>
      <color rgb="FF153F8A"/>
      <name val="Arial"/>
    </font>
    <font>
      <sz val="10"/>
      <name val="Arial"/>
    </font>
    <font>
      <b/>
      <sz val="11"/>
      <color rgb="FF153F8A"/>
      <name val="Arial"/>
    </font>
    <font>
      <b/>
      <sz val="11"/>
      <color rgb="FFFFFFFF"/>
      <name val="Arial"/>
    </font>
    <font>
      <i/>
      <sz val="9"/>
      <color rgb="FF666666"/>
      <name val="Arial"/>
    </font>
    <font>
      <b/>
      <sz val="10"/>
      <name val="Arial"/>
    </font>
    <font>
      <b/>
      <sz val="10"/>
      <color rgb="FFFFFFFF"/>
      <name val="Arial"/>
    </font>
    <font>
      <b/>
      <sz val="14"/>
      <color rgb="FFFFFFFF"/>
      <name val="Arial"/>
    </font>
    <font>
      <b/>
      <i/>
      <sz val="10"/>
      <color rgb="FF666666"/>
      <name val="Arial"/>
    </font>
    <font>
      <b/>
      <i/>
      <sz val="9"/>
      <color rgb="FF666666"/>
      <name val="Arial"/>
    </font>
    <font>
      <sz val="10"/>
      <color rgb="FF0000FF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153F8A"/>
      <name val="Arial"/>
    </font>
    <font>
      <sz val="10"/>
      <color rgb="FF008000"/>
      <name val="Arial"/>
    </font>
    <font>
      <b/>
      <sz val="12"/>
      <color theme="1"/>
      <name val="Arial"/>
    </font>
    <font>
      <b/>
      <sz val="18"/>
      <color rgb="FFFFFFFF"/>
      <name val="Arial"/>
    </font>
    <font>
      <b/>
      <sz val="14"/>
      <color theme="1"/>
      <name val="Arial"/>
    </font>
    <font>
      <sz val="9"/>
      <color rgb="FF008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153F8A"/>
      </patternFill>
    </fill>
    <fill>
      <patternFill patternType="solid">
        <fgColor rgb="FF153F8A"/>
        <bgColor indexed="64"/>
      </patternFill>
    </fill>
    <fill>
      <patternFill patternType="solid">
        <fgColor rgb="FFFFF7D6"/>
        <bgColor indexed="64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5" fillId="3" borderId="0" xfId="0" applyFont="1" applyFill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4" fillId="0" borderId="1" xfId="0" applyFont="1" applyBorder="1"/>
    <xf numFmtId="164" fontId="13" fillId="0" borderId="1" xfId="0" applyNumberFormat="1" applyFont="1" applyBorder="1"/>
    <xf numFmtId="0" fontId="0" fillId="0" borderId="1" xfId="0" applyBorder="1"/>
    <xf numFmtId="0" fontId="16" fillId="0" borderId="0" xfId="0" applyFont="1" applyAlignment="1">
      <alignment horizontal="center"/>
    </xf>
    <xf numFmtId="164" fontId="16" fillId="0" borderId="0" xfId="0" applyNumberFormat="1" applyFont="1"/>
    <xf numFmtId="165" fontId="16" fillId="0" borderId="0" xfId="0" applyNumberFormat="1" applyFont="1"/>
    <xf numFmtId="165" fontId="13" fillId="0" borderId="0" xfId="0" applyNumberFormat="1" applyFont="1"/>
    <xf numFmtId="167" fontId="13" fillId="0" borderId="0" xfId="0" applyNumberFormat="1" applyFont="1"/>
    <xf numFmtId="1" fontId="13" fillId="0" borderId="0" xfId="0" applyNumberFormat="1" applyFont="1"/>
    <xf numFmtId="0" fontId="17" fillId="0" borderId="0" xfId="0" applyFont="1" applyAlignment="1">
      <alignment horizontal="center"/>
    </xf>
    <xf numFmtId="0" fontId="11" fillId="0" borderId="0" xfId="0" applyFont="1"/>
    <xf numFmtId="0" fontId="18" fillId="3" borderId="0" xfId="0" applyFont="1" applyFill="1"/>
    <xf numFmtId="0" fontId="0" fillId="3" borderId="0" xfId="0" applyFill="1"/>
    <xf numFmtId="0" fontId="20" fillId="0" borderId="0" xfId="0" applyFont="1"/>
    <xf numFmtId="0" fontId="16" fillId="0" borderId="1" xfId="0" applyFont="1" applyBorder="1"/>
    <xf numFmtId="0" fontId="4" fillId="0" borderId="1" xfId="0" applyFont="1" applyBorder="1"/>
    <xf numFmtId="0" fontId="19" fillId="0" borderId="1" xfId="0" applyFont="1" applyBorder="1" applyAlignment="1">
      <alignment horizontal="center"/>
    </xf>
    <xf numFmtId="167" fontId="13" fillId="0" borderId="1" xfId="0" applyNumberFormat="1" applyFont="1" applyBorder="1"/>
    <xf numFmtId="1" fontId="13" fillId="0" borderId="1" xfId="0" applyNumberFormat="1" applyFont="1" applyBorder="1"/>
    <xf numFmtId="0" fontId="8" fillId="3" borderId="1" xfId="0" applyFont="1" applyFill="1" applyBorder="1"/>
    <xf numFmtId="0" fontId="13" fillId="0" borderId="1" xfId="0" applyFont="1" applyBorder="1"/>
    <xf numFmtId="0" fontId="2" fillId="0" borderId="0" xfId="0" applyFont="1" applyAlignment="1">
      <alignment vertical="top" wrapText="1"/>
    </xf>
    <xf numFmtId="0" fontId="9" fillId="3" borderId="0" xfId="0" applyFont="1" applyFill="1" applyProtection="1"/>
    <xf numFmtId="0" fontId="3" fillId="3" borderId="2" xfId="0" applyFont="1" applyFill="1" applyBorder="1" applyProtection="1"/>
    <xf numFmtId="0" fontId="7" fillId="0" borderId="1" xfId="0" applyFont="1" applyBorder="1" applyProtection="1"/>
    <xf numFmtId="0" fontId="10" fillId="0" borderId="1" xfId="0" applyFont="1" applyBorder="1" applyProtection="1"/>
    <xf numFmtId="0" fontId="0" fillId="0" borderId="0" xfId="0" applyProtection="1"/>
    <xf numFmtId="0" fontId="11" fillId="0" borderId="0" xfId="0" applyFont="1" applyFill="1" applyBorder="1" applyProtection="1"/>
    <xf numFmtId="0" fontId="12" fillId="4" borderId="1" xfId="0" applyFont="1" applyFill="1" applyBorder="1" applyProtection="1">
      <protection locked="0"/>
    </xf>
    <xf numFmtId="164" fontId="12" fillId="4" borderId="1" xfId="0" applyNumberFormat="1" applyFont="1" applyFill="1" applyBorder="1" applyProtection="1">
      <protection locked="0"/>
    </xf>
    <xf numFmtId="0" fontId="12" fillId="4" borderId="1" xfId="0" applyFont="1" applyFill="1" applyBorder="1" applyAlignment="1" applyProtection="1">
      <alignment horizontal="center"/>
      <protection locked="0"/>
    </xf>
    <xf numFmtId="164" fontId="13" fillId="4" borderId="1" xfId="0" applyNumberFormat="1" applyFont="1" applyFill="1" applyBorder="1" applyProtection="1">
      <protection locked="0"/>
    </xf>
  </cellXfs>
  <cellStyles count="1">
    <cellStyle name="Normal" xfId="0" builtinId="0"/>
  </cellStyles>
  <dxfs count="31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9C65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color rgb="FFAAAAAA"/>
      </font>
      <fill>
        <patternFill patternType="solid">
          <fgColor indexed="64"/>
          <bgColor rgb="FFEEEEEE"/>
        </patternFill>
      </fill>
    </dxf>
    <dxf>
      <font>
        <color rgb="FFAAAAAA"/>
      </font>
      <fill>
        <patternFill patternType="solid">
          <fgColor indexed="64"/>
          <bgColor rgb="FFEEEEEE"/>
        </patternFill>
      </fill>
    </dxf>
    <dxf>
      <font>
        <color rgb="FFAAAAAA"/>
      </font>
      <fill>
        <patternFill patternType="solid">
          <fgColor indexed="64"/>
          <bgColor rgb="FFEEEEEE"/>
        </patternFill>
      </fill>
    </dxf>
    <dxf>
      <font>
        <color rgb="FFAAAAAA"/>
      </font>
      <fill>
        <patternFill patternType="solid">
          <fgColor indexed="64"/>
          <bgColor rgb="FFEEEEEE"/>
        </patternFill>
      </fill>
    </dxf>
    <dxf>
      <font>
        <color rgb="FFAAAAAA"/>
      </font>
      <fill>
        <patternFill patternType="solid">
          <fgColor indexed="64"/>
          <bgColor rgb="FFEEEE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Components of Variation (% of Total Variation)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Dashboard!$B$10</c:f>
              <c:strCache>
                <c:ptCount val="1"/>
                <c:pt idx="0">
                  <c:v>% of Total Variation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Dashboard!$A$11:$A$14</c:f>
              <c:strCache>
                <c:ptCount val="4"/>
                <c:pt idx="0">
                  <c:v>EV (Repeatability)</c:v>
                </c:pt>
                <c:pt idx="1">
                  <c:v>AV (Reproducibility)</c:v>
                </c:pt>
                <c:pt idx="2">
                  <c:v>GRR (Total Gage)</c:v>
                </c:pt>
                <c:pt idx="3">
                  <c:v>PV (Part Variation)</c:v>
                </c:pt>
              </c:strCache>
            </c:strRef>
          </c:cat>
          <c:val>
            <c:numRef>
              <c:f>Dashboard!$B$11:$B$14</c:f>
              <c:numCache>
                <c:formatCode>0.0"%"</c:formatCode>
                <c:ptCount val="4"/>
                <c:pt idx="0">
                  <c:v>45.387511640206455</c:v>
                </c:pt>
                <c:pt idx="1">
                  <c:v>0</c:v>
                </c:pt>
                <c:pt idx="2">
                  <c:v>45.387511640206455</c:v>
                </c:pt>
                <c:pt idx="3">
                  <c:v>89.106530552536498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FE-4201-99FE-0C2881577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0767839"/>
        <c:axId val="1243911823"/>
      </c:barChart>
      <c:catAx>
        <c:axId val="116076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911823"/>
        <c:crosses val="autoZero"/>
        <c:auto val="1"/>
        <c:lblAlgn val="ctr"/>
        <c:lblOffset val="100"/>
        <c:noMultiLvlLbl val="0"/>
      </c:catAx>
      <c:valAx>
        <c:axId val="1243911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&quot;%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67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Range Chart by Part (Repeatability Check)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Dashboard!$B$18</c:f>
              <c:strCache>
                <c:ptCount val="1"/>
                <c:pt idx="0">
                  <c:v>Operator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Dashboard!$A$19:$A$28</c:f>
              <c:strCache>
                <c:ptCount val="10"/>
                <c:pt idx="0">
                  <c:v>Part 1</c:v>
                </c:pt>
                <c:pt idx="1">
                  <c:v>Part 2</c:v>
                </c:pt>
                <c:pt idx="2">
                  <c:v>Part 3</c:v>
                </c:pt>
                <c:pt idx="3">
                  <c:v>Part 4</c:v>
                </c:pt>
                <c:pt idx="4">
                  <c:v>Part 5</c:v>
                </c:pt>
                <c:pt idx="5">
                  <c:v>Part 6</c:v>
                </c:pt>
                <c:pt idx="6">
                  <c:v>Part 7</c:v>
                </c:pt>
                <c:pt idx="7">
                  <c:v>Part 8</c:v>
                </c:pt>
                <c:pt idx="8">
                  <c:v>Part 9</c:v>
                </c:pt>
                <c:pt idx="9">
                  <c:v>Part 10</c:v>
                </c:pt>
              </c:strCache>
            </c:strRef>
          </c:cat>
          <c:val>
            <c:numRef>
              <c:f>Dashboard!$B$19:$B$28</c:f>
              <c:numCache>
                <c:formatCode>0.0000</c:formatCode>
                <c:ptCount val="10"/>
                <c:pt idx="0">
                  <c:v>1.9999999999988916E-3</c:v>
                </c:pt>
                <c:pt idx="1">
                  <c:v>1.9999999999988916E-3</c:v>
                </c:pt>
                <c:pt idx="2">
                  <c:v>2.0000000000024443E-3</c:v>
                </c:pt>
                <c:pt idx="3">
                  <c:v>1.9999999999988916E-3</c:v>
                </c:pt>
                <c:pt idx="4">
                  <c:v>1.9999999999988916E-3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05-4787-872A-6EE10D28E374}"/>
            </c:ext>
          </c:extLst>
        </c:ser>
        <c:ser>
          <c:idx val="1"/>
          <c:order val="1"/>
          <c:tx>
            <c:strRef>
              <c:f>Dashboard!$C$18</c:f>
              <c:strCache>
                <c:ptCount val="1"/>
                <c:pt idx="0">
                  <c:v>Operator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Dashboard!$A$19:$A$28</c:f>
              <c:strCache>
                <c:ptCount val="10"/>
                <c:pt idx="0">
                  <c:v>Part 1</c:v>
                </c:pt>
                <c:pt idx="1">
                  <c:v>Part 2</c:v>
                </c:pt>
                <c:pt idx="2">
                  <c:v>Part 3</c:v>
                </c:pt>
                <c:pt idx="3">
                  <c:v>Part 4</c:v>
                </c:pt>
                <c:pt idx="4">
                  <c:v>Part 5</c:v>
                </c:pt>
                <c:pt idx="5">
                  <c:v>Part 6</c:v>
                </c:pt>
                <c:pt idx="6">
                  <c:v>Part 7</c:v>
                </c:pt>
                <c:pt idx="7">
                  <c:v>Part 8</c:v>
                </c:pt>
                <c:pt idx="8">
                  <c:v>Part 9</c:v>
                </c:pt>
                <c:pt idx="9">
                  <c:v>Part 10</c:v>
                </c:pt>
              </c:strCache>
            </c:strRef>
          </c:cat>
          <c:val>
            <c:numRef>
              <c:f>Dashboard!$C$19:$C$28</c:f>
              <c:numCache>
                <c:formatCode>0.0000</c:formatCode>
                <c:ptCount val="10"/>
                <c:pt idx="0">
                  <c:v>3.0000000000001137E-3</c:v>
                </c:pt>
                <c:pt idx="1">
                  <c:v>3.0000000000001137E-3</c:v>
                </c:pt>
                <c:pt idx="2">
                  <c:v>1.9999999999988916E-3</c:v>
                </c:pt>
                <c:pt idx="3">
                  <c:v>1.9999999999988916E-3</c:v>
                </c:pt>
                <c:pt idx="4">
                  <c:v>1.9999999999988916E-3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05-4787-872A-6EE10D28E374}"/>
            </c:ext>
          </c:extLst>
        </c:ser>
        <c:ser>
          <c:idx val="2"/>
          <c:order val="2"/>
          <c:tx>
            <c:strRef>
              <c:f>Dashboard!$D$18</c:f>
              <c:strCache>
                <c:ptCount val="1"/>
                <c:pt idx="0">
                  <c:v>Operator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Dashboard!$A$19:$A$28</c:f>
              <c:strCache>
                <c:ptCount val="10"/>
                <c:pt idx="0">
                  <c:v>Part 1</c:v>
                </c:pt>
                <c:pt idx="1">
                  <c:v>Part 2</c:v>
                </c:pt>
                <c:pt idx="2">
                  <c:v>Part 3</c:v>
                </c:pt>
                <c:pt idx="3">
                  <c:v>Part 4</c:v>
                </c:pt>
                <c:pt idx="4">
                  <c:v>Part 5</c:v>
                </c:pt>
                <c:pt idx="5">
                  <c:v>Part 6</c:v>
                </c:pt>
                <c:pt idx="6">
                  <c:v>Part 7</c:v>
                </c:pt>
                <c:pt idx="7">
                  <c:v>Part 8</c:v>
                </c:pt>
                <c:pt idx="8">
                  <c:v>Part 9</c:v>
                </c:pt>
                <c:pt idx="9">
                  <c:v>Part 10</c:v>
                </c:pt>
              </c:strCache>
            </c:strRef>
          </c:cat>
          <c:val>
            <c:numRef>
              <c:f>Dashboard!$D$19:$D$28</c:f>
              <c:numCache>
                <c:formatCode>0.0000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05-4787-872A-6EE10D28E374}"/>
            </c:ext>
          </c:extLst>
        </c:ser>
        <c:ser>
          <c:idx val="3"/>
          <c:order val="3"/>
          <c:tx>
            <c:strRef>
              <c:f>Dashboard!$E$18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Dashboard!$A$19:$A$28</c:f>
              <c:strCache>
                <c:ptCount val="10"/>
                <c:pt idx="0">
                  <c:v>Part 1</c:v>
                </c:pt>
                <c:pt idx="1">
                  <c:v>Part 2</c:v>
                </c:pt>
                <c:pt idx="2">
                  <c:v>Part 3</c:v>
                </c:pt>
                <c:pt idx="3">
                  <c:v>Part 4</c:v>
                </c:pt>
                <c:pt idx="4">
                  <c:v>Part 5</c:v>
                </c:pt>
                <c:pt idx="5">
                  <c:v>Part 6</c:v>
                </c:pt>
                <c:pt idx="6">
                  <c:v>Part 7</c:v>
                </c:pt>
                <c:pt idx="7">
                  <c:v>Part 8</c:v>
                </c:pt>
                <c:pt idx="8">
                  <c:v>Part 9</c:v>
                </c:pt>
                <c:pt idx="9">
                  <c:v>Part 10</c:v>
                </c:pt>
              </c:strCache>
            </c:strRef>
          </c:cat>
          <c:val>
            <c:numRef>
              <c:f>Dashboard!$E$19:$E$28</c:f>
              <c:numCache>
                <c:formatCode>0.0000</c:formatCode>
                <c:ptCount val="10"/>
                <c:pt idx="0">
                  <c:v>5.664999999998691E-3</c:v>
                </c:pt>
                <c:pt idx="1">
                  <c:v>5.664999999998691E-3</c:v>
                </c:pt>
                <c:pt idx="2">
                  <c:v>5.664999999998691E-3</c:v>
                </c:pt>
                <c:pt idx="3">
                  <c:v>5.664999999998691E-3</c:v>
                </c:pt>
                <c:pt idx="4">
                  <c:v>5.664999999998691E-3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05-4787-872A-6EE10D28E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8112975"/>
        <c:axId val="1243904623"/>
      </c:lineChart>
      <c:catAx>
        <c:axId val="1168112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904623"/>
        <c:crosses val="autoZero"/>
        <c:auto val="1"/>
        <c:lblAlgn val="ctr"/>
        <c:lblOffset val="100"/>
        <c:noMultiLvlLbl val="0"/>
      </c:catAx>
      <c:valAx>
        <c:axId val="124390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8112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0</xdr:colOff>
      <xdr:row>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61E924-5F82-8362-CC13-28CAC93EA1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15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CE9F466-59C5-3EB1-A806-75C33FCFFA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6B01391-9B8D-4166-9208-6C3DCFEFF4B7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6c1c1f7e-bd61-46e3-8a3b-18ae8921804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showGridLines="0" workbookViewId="0"/>
  </sheetViews>
  <sheetFormatPr defaultRowHeight="15" x14ac:dyDescent="0.25"/>
  <cols>
    <col min="1" max="1" width="148.5703125" customWidth="1"/>
  </cols>
  <sheetData>
    <row r="1" spans="1:1" ht="20.25" x14ac:dyDescent="0.3">
      <c r="A1" s="1" t="s">
        <v>0</v>
      </c>
    </row>
    <row r="3" spans="1:1" ht="15.75" x14ac:dyDescent="0.25">
      <c r="A3" s="2" t="s">
        <v>1</v>
      </c>
    </row>
    <row r="4" spans="1:1" ht="27.95" customHeight="1" x14ac:dyDescent="0.25">
      <c r="A4" s="3" t="s">
        <v>112</v>
      </c>
    </row>
    <row r="6" spans="1:1" ht="15.75" x14ac:dyDescent="0.25">
      <c r="A6" s="2" t="s">
        <v>2</v>
      </c>
    </row>
    <row r="7" spans="1:1" ht="27.95" customHeight="1" x14ac:dyDescent="0.25">
      <c r="A7" s="3" t="s">
        <v>113</v>
      </c>
    </row>
    <row r="8" spans="1:1" ht="27.95" customHeight="1" x14ac:dyDescent="0.25">
      <c r="A8" s="3" t="s">
        <v>114</v>
      </c>
    </row>
    <row r="9" spans="1:1" ht="27.95" customHeight="1" x14ac:dyDescent="0.25">
      <c r="A9" s="3" t="s">
        <v>115</v>
      </c>
    </row>
    <row r="10" spans="1:1" ht="27.95" customHeight="1" x14ac:dyDescent="0.25">
      <c r="A10" s="3" t="s">
        <v>116</v>
      </c>
    </row>
    <row r="11" spans="1:1" ht="25.5" x14ac:dyDescent="0.25">
      <c r="A11" s="3" t="s">
        <v>117</v>
      </c>
    </row>
    <row r="12" spans="1:1" ht="15.75" x14ac:dyDescent="0.25">
      <c r="A12" s="2"/>
    </row>
    <row r="13" spans="1:1" ht="27.95" customHeight="1" x14ac:dyDescent="0.25">
      <c r="A13" s="35" t="s">
        <v>3</v>
      </c>
    </row>
    <row r="14" spans="1:1" ht="27.95" customHeight="1" x14ac:dyDescent="0.25">
      <c r="A14" s="3" t="s">
        <v>4</v>
      </c>
    </row>
    <row r="15" spans="1:1" x14ac:dyDescent="0.25">
      <c r="A15" s="3" t="s">
        <v>5</v>
      </c>
    </row>
    <row r="17" spans="1:1" x14ac:dyDescent="0.25">
      <c r="A17" s="7" t="s">
        <v>118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9F43-D88E-4088-B393-27DDEC4F5894}">
  <dimension ref="A1:F28"/>
  <sheetViews>
    <sheetView tabSelected="1" workbookViewId="0"/>
  </sheetViews>
  <sheetFormatPr defaultRowHeight="15" x14ac:dyDescent="0.25"/>
  <cols>
    <col min="1" max="1" width="32.42578125" customWidth="1"/>
    <col min="2" max="3" width="17.140625" customWidth="1"/>
    <col min="4" max="4" width="24.7109375" customWidth="1"/>
    <col min="5" max="5" width="17.140625" customWidth="1"/>
  </cols>
  <sheetData>
    <row r="1" spans="1:6" ht="26.1" customHeight="1" x14ac:dyDescent="0.35">
      <c r="A1" s="25" t="s">
        <v>95</v>
      </c>
      <c r="B1" s="26"/>
      <c r="C1" s="26"/>
      <c r="D1" s="26"/>
      <c r="E1" s="26"/>
      <c r="F1" s="26"/>
    </row>
    <row r="3" spans="1:6" ht="18" x14ac:dyDescent="0.25">
      <c r="A3" s="14" t="s">
        <v>16</v>
      </c>
      <c r="B3" s="28" t="str">
        <f>'Study Setup'!B2</f>
        <v>Digital bore gage #14</v>
      </c>
      <c r="D3" s="29" t="s">
        <v>96</v>
      </c>
      <c r="E3" s="30" t="str">
        <f ca="1">'GRR Calculations'!B32</f>
        <v>REJECT</v>
      </c>
    </row>
    <row r="4" spans="1:6" x14ac:dyDescent="0.25">
      <c r="A4" s="14" t="s">
        <v>18</v>
      </c>
      <c r="B4" s="28" t="str">
        <f>'Study Setup'!B3</f>
        <v>Bore diameter</v>
      </c>
      <c r="D4" s="14" t="s">
        <v>97</v>
      </c>
      <c r="E4" s="31">
        <f ca="1">'GRR Calculations'!B25</f>
        <v>45.387511640206455</v>
      </c>
    </row>
    <row r="5" spans="1:6" x14ac:dyDescent="0.25">
      <c r="A5" s="14" t="s">
        <v>25</v>
      </c>
      <c r="B5" s="28" t="str">
        <f>'Study Setup'!B11</f>
        <v>Enter name</v>
      </c>
      <c r="D5" s="14" t="s">
        <v>98</v>
      </c>
      <c r="E5" s="31">
        <f ca="1">'GRR Calculations'!B26</f>
        <v>57.594166666653351</v>
      </c>
    </row>
    <row r="6" spans="1:6" x14ac:dyDescent="0.25">
      <c r="A6" s="14" t="s">
        <v>27</v>
      </c>
      <c r="B6" s="28" t="str">
        <f>'Study Setup'!B12</f>
        <v>Enter date</v>
      </c>
      <c r="D6" s="14" t="s">
        <v>99</v>
      </c>
      <c r="E6" s="32">
        <f ca="1">'GRR Calculations'!B27</f>
        <v>2</v>
      </c>
    </row>
    <row r="9" spans="1:6" x14ac:dyDescent="0.25">
      <c r="A9" s="11" t="s">
        <v>100</v>
      </c>
    </row>
    <row r="10" spans="1:6" x14ac:dyDescent="0.25">
      <c r="A10" s="33" t="s">
        <v>101</v>
      </c>
      <c r="B10" s="33" t="s">
        <v>102</v>
      </c>
    </row>
    <row r="11" spans="1:6" x14ac:dyDescent="0.25">
      <c r="A11" s="34" t="s">
        <v>103</v>
      </c>
      <c r="B11" s="31">
        <f ca="1">'GRR Calculations'!B35</f>
        <v>45.387511640206455</v>
      </c>
    </row>
    <row r="12" spans="1:6" x14ac:dyDescent="0.25">
      <c r="A12" s="34" t="s">
        <v>104</v>
      </c>
      <c r="B12" s="31">
        <f ca="1">'GRR Calculations'!B36</f>
        <v>0</v>
      </c>
    </row>
    <row r="13" spans="1:6" x14ac:dyDescent="0.25">
      <c r="A13" s="34" t="s">
        <v>105</v>
      </c>
      <c r="B13" s="31">
        <f ca="1">'GRR Calculations'!B37</f>
        <v>45.387511640206455</v>
      </c>
    </row>
    <row r="14" spans="1:6" x14ac:dyDescent="0.25">
      <c r="A14" s="34" t="s">
        <v>106</v>
      </c>
      <c r="B14" s="31">
        <f ca="1">'GRR Calculations'!B38</f>
        <v>89.106530552536498</v>
      </c>
    </row>
    <row r="17" spans="1:5" x14ac:dyDescent="0.25">
      <c r="A17" s="11" t="s">
        <v>107</v>
      </c>
      <c r="D17" s="7" t="s">
        <v>108</v>
      </c>
      <c r="E17" s="27">
        <f>IFERROR(INDEX('Constants Reference'!$B$27:$B$28,MATCH('Study Setup'!$B$7,'Constants Reference'!$A$27:$A$28,0)),"")</f>
        <v>2.5750000000000002</v>
      </c>
    </row>
    <row r="18" spans="1:5" x14ac:dyDescent="0.25">
      <c r="A18" s="33" t="s">
        <v>109</v>
      </c>
      <c r="B18" s="33" t="s">
        <v>22</v>
      </c>
      <c r="C18" s="33" t="s">
        <v>24</v>
      </c>
      <c r="D18" s="33" t="s">
        <v>110</v>
      </c>
      <c r="E18" s="33" t="s">
        <v>111</v>
      </c>
    </row>
    <row r="19" spans="1:5" x14ac:dyDescent="0.25">
      <c r="A19" s="34" t="str">
        <f>"Part "&amp;(ROW()-18)</f>
        <v>Part 1</v>
      </c>
      <c r="B19" s="15" cm="1">
        <f t="array" aca="1" ref="B19" ca="1">IF(ROW()-18&gt;'Study Setup'!$B$5,NA(),INDEX('Data Collection'!$B$6:$K$6,1,ROW()-18))</f>
        <v>1.9999999999988916E-3</v>
      </c>
      <c r="C19" s="15" cm="1">
        <f t="array" aca="1" ref="C19" ca="1">IF(ROW()-18&gt;'Study Setup'!$B$5,NA(),INDEX('Data Collection'!$B$12:$K$12,1,ROW()-18))</f>
        <v>3.0000000000001137E-3</v>
      </c>
      <c r="D19" s="15" t="e" cm="1">
        <f t="array" ref="D19">IF(OR(ROW()-18&gt;'Study Setup'!$B$5,'Study Setup'!$B$6&lt;3),NA(),INDEX('Data Collection'!$B$18:$K$18,1,ROW()-18))</f>
        <v>#N/A</v>
      </c>
      <c r="E19" s="15">
        <f ca="1">IF(ROW()-18&gt;'Study Setup'!$B$5,NA(),'GRR Calculations'!$B$13*$E$17)</f>
        <v>5.664999999998691E-3</v>
      </c>
    </row>
    <row r="20" spans="1:5" x14ac:dyDescent="0.25">
      <c r="A20" s="34" t="str">
        <f t="shared" ref="A20:A28" si="0">"Part "&amp;(ROW()-18)</f>
        <v>Part 2</v>
      </c>
      <c r="B20" s="15" cm="1">
        <f t="array" aca="1" ref="B20" ca="1">IF(ROW()-18&gt;'Study Setup'!$B$5,NA(),INDEX('Data Collection'!$B$6:$K$6,1,ROW()-18))</f>
        <v>1.9999999999988916E-3</v>
      </c>
      <c r="C20" s="15" cm="1">
        <f t="array" aca="1" ref="C20" ca="1">IF(ROW()-18&gt;'Study Setup'!$B$5,NA(),INDEX('Data Collection'!$B$12:$K$12,1,ROW()-18))</f>
        <v>3.0000000000001137E-3</v>
      </c>
      <c r="D20" s="15" t="e" cm="1">
        <f t="array" ref="D20">IF(OR(ROW()-18&gt;'Study Setup'!$B$5,'Study Setup'!$B$6&lt;3),NA(),INDEX('Data Collection'!$B$18:$K$18,1,ROW()-18))</f>
        <v>#N/A</v>
      </c>
      <c r="E20" s="15">
        <f ca="1">IF(ROW()-18&gt;'Study Setup'!$B$5,NA(),'GRR Calculations'!$B$13*$E$17)</f>
        <v>5.664999999998691E-3</v>
      </c>
    </row>
    <row r="21" spans="1:5" x14ac:dyDescent="0.25">
      <c r="A21" s="34" t="str">
        <f t="shared" si="0"/>
        <v>Part 3</v>
      </c>
      <c r="B21" s="15" cm="1">
        <f t="array" aca="1" ref="B21" ca="1">IF(ROW()-18&gt;'Study Setup'!$B$5,NA(),INDEX('Data Collection'!$B$6:$K$6,1,ROW()-18))</f>
        <v>2.0000000000024443E-3</v>
      </c>
      <c r="C21" s="15" cm="1">
        <f t="array" aca="1" ref="C21" ca="1">IF(ROW()-18&gt;'Study Setup'!$B$5,NA(),INDEX('Data Collection'!$B$12:$K$12,1,ROW()-18))</f>
        <v>1.9999999999988916E-3</v>
      </c>
      <c r="D21" s="15" t="e" cm="1">
        <f t="array" ref="D21">IF(OR(ROW()-18&gt;'Study Setup'!$B$5,'Study Setup'!$B$6&lt;3),NA(),INDEX('Data Collection'!$B$18:$K$18,1,ROW()-18))</f>
        <v>#N/A</v>
      </c>
      <c r="E21" s="15">
        <f ca="1">IF(ROW()-18&gt;'Study Setup'!$B$5,NA(),'GRR Calculations'!$B$13*$E$17)</f>
        <v>5.664999999998691E-3</v>
      </c>
    </row>
    <row r="22" spans="1:5" x14ac:dyDescent="0.25">
      <c r="A22" s="34" t="str">
        <f t="shared" si="0"/>
        <v>Part 4</v>
      </c>
      <c r="B22" s="15" cm="1">
        <f t="array" aca="1" ref="B22" ca="1">IF(ROW()-18&gt;'Study Setup'!$B$5,NA(),INDEX('Data Collection'!$B$6:$K$6,1,ROW()-18))</f>
        <v>1.9999999999988916E-3</v>
      </c>
      <c r="C22" s="15" cm="1">
        <f t="array" aca="1" ref="C22" ca="1">IF(ROW()-18&gt;'Study Setup'!$B$5,NA(),INDEX('Data Collection'!$B$12:$K$12,1,ROW()-18))</f>
        <v>1.9999999999988916E-3</v>
      </c>
      <c r="D22" s="15" t="e" cm="1">
        <f t="array" ref="D22">IF(OR(ROW()-18&gt;'Study Setup'!$B$5,'Study Setup'!$B$6&lt;3),NA(),INDEX('Data Collection'!$B$18:$K$18,1,ROW()-18))</f>
        <v>#N/A</v>
      </c>
      <c r="E22" s="15">
        <f ca="1">IF(ROW()-18&gt;'Study Setup'!$B$5,NA(),'GRR Calculations'!$B$13*$E$17)</f>
        <v>5.664999999998691E-3</v>
      </c>
    </row>
    <row r="23" spans="1:5" x14ac:dyDescent="0.25">
      <c r="A23" s="34" t="str">
        <f t="shared" si="0"/>
        <v>Part 5</v>
      </c>
      <c r="B23" s="15" cm="1">
        <f t="array" aca="1" ref="B23" ca="1">IF(ROW()-18&gt;'Study Setup'!$B$5,NA(),INDEX('Data Collection'!$B$6:$K$6,1,ROW()-18))</f>
        <v>1.9999999999988916E-3</v>
      </c>
      <c r="C23" s="15" cm="1">
        <f t="array" aca="1" ref="C23" ca="1">IF(ROW()-18&gt;'Study Setup'!$B$5,NA(),INDEX('Data Collection'!$B$12:$K$12,1,ROW()-18))</f>
        <v>1.9999999999988916E-3</v>
      </c>
      <c r="D23" s="15" t="e" cm="1">
        <f t="array" ref="D23">IF(OR(ROW()-18&gt;'Study Setup'!$B$5,'Study Setup'!$B$6&lt;3),NA(),INDEX('Data Collection'!$B$18:$K$18,1,ROW()-18))</f>
        <v>#N/A</v>
      </c>
      <c r="E23" s="15">
        <f ca="1">IF(ROW()-18&gt;'Study Setup'!$B$5,NA(),'GRR Calculations'!$B$13*$E$17)</f>
        <v>5.664999999998691E-3</v>
      </c>
    </row>
    <row r="24" spans="1:5" x14ac:dyDescent="0.25">
      <c r="A24" s="34" t="str">
        <f t="shared" si="0"/>
        <v>Part 6</v>
      </c>
      <c r="B24" s="15" t="e" cm="1">
        <f t="array" ref="B24">IF(ROW()-18&gt;'Study Setup'!$B$5,NA(),INDEX('Data Collection'!$B$6:$K$6,1,ROW()-18))</f>
        <v>#N/A</v>
      </c>
      <c r="C24" s="15" t="e" cm="1">
        <f t="array" ref="C24">IF(ROW()-18&gt;'Study Setup'!$B$5,NA(),INDEX('Data Collection'!$B$12:$K$12,1,ROW()-18))</f>
        <v>#N/A</v>
      </c>
      <c r="D24" s="15" t="e" cm="1">
        <f t="array" ref="D24">IF(OR(ROW()-18&gt;'Study Setup'!$B$5,'Study Setup'!$B$6&lt;3),NA(),INDEX('Data Collection'!$B$18:$K$18,1,ROW()-18))</f>
        <v>#N/A</v>
      </c>
      <c r="E24" s="15" t="e">
        <f>IF(ROW()-18&gt;'Study Setup'!$B$5,NA(),'GRR Calculations'!$B$13*$E$17)</f>
        <v>#N/A</v>
      </c>
    </row>
    <row r="25" spans="1:5" x14ac:dyDescent="0.25">
      <c r="A25" s="34" t="str">
        <f t="shared" si="0"/>
        <v>Part 7</v>
      </c>
      <c r="B25" s="15" t="e" cm="1">
        <f t="array" ref="B25">IF(ROW()-18&gt;'Study Setup'!$B$5,NA(),INDEX('Data Collection'!$B$6:$K$6,1,ROW()-18))</f>
        <v>#N/A</v>
      </c>
      <c r="C25" s="15" t="e" cm="1">
        <f t="array" ref="C25">IF(ROW()-18&gt;'Study Setup'!$B$5,NA(),INDEX('Data Collection'!$B$12:$K$12,1,ROW()-18))</f>
        <v>#N/A</v>
      </c>
      <c r="D25" s="15" t="e" cm="1">
        <f t="array" ref="D25">IF(OR(ROW()-18&gt;'Study Setup'!$B$5,'Study Setup'!$B$6&lt;3),NA(),INDEX('Data Collection'!$B$18:$K$18,1,ROW()-18))</f>
        <v>#N/A</v>
      </c>
      <c r="E25" s="15" t="e">
        <f>IF(ROW()-18&gt;'Study Setup'!$B$5,NA(),'GRR Calculations'!$B$13*$E$17)</f>
        <v>#N/A</v>
      </c>
    </row>
    <row r="26" spans="1:5" x14ac:dyDescent="0.25">
      <c r="A26" s="34" t="str">
        <f t="shared" si="0"/>
        <v>Part 8</v>
      </c>
      <c r="B26" s="15" t="e" cm="1">
        <f t="array" ref="B26">IF(ROW()-18&gt;'Study Setup'!$B$5,NA(),INDEX('Data Collection'!$B$6:$K$6,1,ROW()-18))</f>
        <v>#N/A</v>
      </c>
      <c r="C26" s="15" t="e" cm="1">
        <f t="array" ref="C26">IF(ROW()-18&gt;'Study Setup'!$B$5,NA(),INDEX('Data Collection'!$B$12:$K$12,1,ROW()-18))</f>
        <v>#N/A</v>
      </c>
      <c r="D26" s="15" t="e" cm="1">
        <f t="array" ref="D26">IF(OR(ROW()-18&gt;'Study Setup'!$B$5,'Study Setup'!$B$6&lt;3),NA(),INDEX('Data Collection'!$B$18:$K$18,1,ROW()-18))</f>
        <v>#N/A</v>
      </c>
      <c r="E26" s="15" t="e">
        <f>IF(ROW()-18&gt;'Study Setup'!$B$5,NA(),'GRR Calculations'!$B$13*$E$17)</f>
        <v>#N/A</v>
      </c>
    </row>
    <row r="27" spans="1:5" x14ac:dyDescent="0.25">
      <c r="A27" s="34" t="str">
        <f t="shared" si="0"/>
        <v>Part 9</v>
      </c>
      <c r="B27" s="15" t="e" cm="1">
        <f t="array" ref="B27">IF(ROW()-18&gt;'Study Setup'!$B$5,NA(),INDEX('Data Collection'!$B$6:$K$6,1,ROW()-18))</f>
        <v>#N/A</v>
      </c>
      <c r="C27" s="15" t="e" cm="1">
        <f t="array" ref="C27">IF(ROW()-18&gt;'Study Setup'!$B$5,NA(),INDEX('Data Collection'!$B$12:$K$12,1,ROW()-18))</f>
        <v>#N/A</v>
      </c>
      <c r="D27" s="15" t="e" cm="1">
        <f t="array" ref="D27">IF(OR(ROW()-18&gt;'Study Setup'!$B$5,'Study Setup'!$B$6&lt;3),NA(),INDEX('Data Collection'!$B$18:$K$18,1,ROW()-18))</f>
        <v>#N/A</v>
      </c>
      <c r="E27" s="15" t="e">
        <f>IF(ROW()-18&gt;'Study Setup'!$B$5,NA(),'GRR Calculations'!$B$13*$E$17)</f>
        <v>#N/A</v>
      </c>
    </row>
    <row r="28" spans="1:5" x14ac:dyDescent="0.25">
      <c r="A28" s="34" t="str">
        <f t="shared" si="0"/>
        <v>Part 10</v>
      </c>
      <c r="B28" s="15" t="e" cm="1">
        <f t="array" ref="B28">IF(ROW()-18&gt;'Study Setup'!$B$5,NA(),INDEX('Data Collection'!$B$6:$K$6,1,ROW()-18))</f>
        <v>#N/A</v>
      </c>
      <c r="C28" s="15" t="e" cm="1">
        <f t="array" ref="C28">IF(ROW()-18&gt;'Study Setup'!$B$5,NA(),INDEX('Data Collection'!$B$12:$K$12,1,ROW()-18))</f>
        <v>#N/A</v>
      </c>
      <c r="D28" s="15" t="e" cm="1">
        <f t="array" ref="D28">IF(OR(ROW()-18&gt;'Study Setup'!$B$5,'Study Setup'!$B$6&lt;3),NA(),INDEX('Data Collection'!$B$18:$K$18,1,ROW()-18))</f>
        <v>#N/A</v>
      </c>
      <c r="E28" s="15" t="e">
        <f>IF(ROW()-18&gt;'Study Setup'!$B$5,NA(),'GRR Calculations'!$B$13*$E$17)</f>
        <v>#N/A</v>
      </c>
    </row>
  </sheetData>
  <sheetProtection sheet="1" objects="1" scenarios="1"/>
  <conditionalFormatting sqref="E3">
    <cfRule type="expression" dxfId="2" priority="1">
      <formula>EXACT(E3,"ACCEPT")</formula>
    </cfRule>
  </conditionalFormatting>
  <conditionalFormatting sqref="E3">
    <cfRule type="expression" dxfId="1" priority="2">
      <formula>EXACT(E3,"REVIEW")</formula>
    </cfRule>
  </conditionalFormatting>
  <conditionalFormatting sqref="E3">
    <cfRule type="expression" dxfId="0" priority="3">
      <formula>EXACT(E3,"REJECT")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showGridLines="0" workbookViewId="0"/>
  </sheetViews>
  <sheetFormatPr defaultRowHeight="15" x14ac:dyDescent="0.25"/>
  <cols>
    <col min="1" max="1" width="41.85546875" customWidth="1"/>
    <col min="2" max="2" width="30.42578125" customWidth="1"/>
  </cols>
  <sheetData>
    <row r="1" spans="1:2" ht="21.95" customHeight="1" x14ac:dyDescent="0.25">
      <c r="A1" s="36" t="s">
        <v>60</v>
      </c>
      <c r="B1" s="37"/>
    </row>
    <row r="2" spans="1:2" x14ac:dyDescent="0.25">
      <c r="A2" s="38" t="s">
        <v>16</v>
      </c>
      <c r="B2" s="42" t="s">
        <v>17</v>
      </c>
    </row>
    <row r="3" spans="1:2" x14ac:dyDescent="0.25">
      <c r="A3" s="38" t="s">
        <v>18</v>
      </c>
      <c r="B3" s="42" t="s">
        <v>19</v>
      </c>
    </row>
    <row r="4" spans="1:2" x14ac:dyDescent="0.25">
      <c r="A4" s="38" t="s">
        <v>20</v>
      </c>
      <c r="B4" s="43">
        <v>0.06</v>
      </c>
    </row>
    <row r="5" spans="1:2" x14ac:dyDescent="0.25">
      <c r="A5" s="38" t="s">
        <v>61</v>
      </c>
      <c r="B5" s="44">
        <v>5</v>
      </c>
    </row>
    <row r="6" spans="1:2" x14ac:dyDescent="0.25">
      <c r="A6" s="38" t="s">
        <v>62</v>
      </c>
      <c r="B6" s="44">
        <v>2</v>
      </c>
    </row>
    <row r="7" spans="1:2" x14ac:dyDescent="0.25">
      <c r="A7" s="38" t="s">
        <v>63</v>
      </c>
      <c r="B7" s="44">
        <v>3</v>
      </c>
    </row>
    <row r="8" spans="1:2" x14ac:dyDescent="0.25">
      <c r="A8" s="38" t="s">
        <v>21</v>
      </c>
      <c r="B8" s="42" t="s">
        <v>22</v>
      </c>
    </row>
    <row r="9" spans="1:2" x14ac:dyDescent="0.25">
      <c r="A9" s="38" t="s">
        <v>23</v>
      </c>
      <c r="B9" s="42" t="s">
        <v>24</v>
      </c>
    </row>
    <row r="10" spans="1:2" x14ac:dyDescent="0.25">
      <c r="A10" s="38" t="s">
        <v>64</v>
      </c>
      <c r="B10" s="42"/>
    </row>
    <row r="11" spans="1:2" x14ac:dyDescent="0.25">
      <c r="A11" s="38" t="s">
        <v>25</v>
      </c>
      <c r="B11" s="42" t="s">
        <v>26</v>
      </c>
    </row>
    <row r="12" spans="1:2" x14ac:dyDescent="0.25">
      <c r="A12" s="39" t="s">
        <v>27</v>
      </c>
      <c r="B12" s="42" t="s">
        <v>28</v>
      </c>
    </row>
    <row r="13" spans="1:2" x14ac:dyDescent="0.25">
      <c r="A13" s="40"/>
      <c r="B13" s="40"/>
    </row>
    <row r="14" spans="1:2" x14ac:dyDescent="0.25">
      <c r="A14" s="41" t="s">
        <v>65</v>
      </c>
      <c r="B14" s="40"/>
    </row>
  </sheetData>
  <sheetProtection sheet="1" objects="1" scenarios="1"/>
  <dataValidations count="2">
    <dataValidation type="list" allowBlank="1" showInputMessage="1" showErrorMessage="1" sqref="B5" xr:uid="{37587C12-21D7-4EA6-B9C0-55CD41469A6C}">
      <formula1>"2,3,4,5,6,7,8,9,10"</formula1>
    </dataValidation>
    <dataValidation type="list" allowBlank="1" showInputMessage="1" showErrorMessage="1" sqref="B6 B7" xr:uid="{09A7BBE2-3F99-4695-841A-E790C390A397}">
      <formula1>"2,3"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showGridLines="0" topLeftCell="B2" workbookViewId="0">
      <pane xSplit="1" ySplit="1" topLeftCell="C3" activePane="bottomRight" state="frozen"/>
      <selection activeCell="B2" sqref="B2"/>
      <selection pane="topRight" activeCell="C2" sqref="C2"/>
      <selection pane="bottomLeft" activeCell="B3" sqref="B3"/>
      <selection pane="bottomRight"/>
    </sheetView>
  </sheetViews>
  <sheetFormatPr defaultRowHeight="15" x14ac:dyDescent="0.25"/>
  <cols>
    <col min="1" max="1" width="40" customWidth="1"/>
    <col min="2" max="11" width="11.85546875" customWidth="1"/>
  </cols>
  <sheetData>
    <row r="1" spans="1:11" x14ac:dyDescent="0.25">
      <c r="A1" s="12" t="s">
        <v>29</v>
      </c>
      <c r="B1" s="13" t="str">
        <f>"Part "&amp;COLUMN()-1</f>
        <v>Part 1</v>
      </c>
      <c r="C1" s="13" t="str">
        <f t="shared" ref="C1:K1" si="0">"Part "&amp;COLUMN()-1</f>
        <v>Part 2</v>
      </c>
      <c r="D1" s="13" t="str">
        <f t="shared" si="0"/>
        <v>Part 3</v>
      </c>
      <c r="E1" s="13" t="str">
        <f t="shared" si="0"/>
        <v>Part 4</v>
      </c>
      <c r="F1" s="13" t="str">
        <f t="shared" si="0"/>
        <v>Part 5</v>
      </c>
      <c r="G1" s="13" t="str">
        <f t="shared" si="0"/>
        <v>Part 6</v>
      </c>
      <c r="H1" s="13" t="str">
        <f t="shared" si="0"/>
        <v>Part 7</v>
      </c>
      <c r="I1" s="13" t="str">
        <f t="shared" si="0"/>
        <v>Part 8</v>
      </c>
      <c r="J1" s="13" t="str">
        <f t="shared" si="0"/>
        <v>Part 9</v>
      </c>
      <c r="K1" s="13" t="str">
        <f t="shared" si="0"/>
        <v>Part 10</v>
      </c>
    </row>
    <row r="2" spans="1:11" x14ac:dyDescent="0.25">
      <c r="A2" s="14" t="s">
        <v>30</v>
      </c>
      <c r="B2" s="45">
        <v>25.001000000000001</v>
      </c>
      <c r="C2" s="45">
        <v>24.998000000000001</v>
      </c>
      <c r="D2" s="45">
        <v>25.003</v>
      </c>
      <c r="E2" s="45">
        <v>24.998999999999999</v>
      </c>
      <c r="F2" s="45">
        <v>25.001999999999999</v>
      </c>
      <c r="G2" s="45"/>
      <c r="H2" s="45"/>
      <c r="I2" s="45"/>
      <c r="J2" s="45"/>
      <c r="K2" s="45"/>
    </row>
    <row r="3" spans="1:11" x14ac:dyDescent="0.25">
      <c r="A3" s="14" t="s">
        <v>31</v>
      </c>
      <c r="B3" s="45">
        <v>25.001999999999999</v>
      </c>
      <c r="C3" s="45">
        <v>24.997</v>
      </c>
      <c r="D3" s="45">
        <v>25.004000000000001</v>
      </c>
      <c r="E3" s="45">
        <v>24.998000000000001</v>
      </c>
      <c r="F3" s="45">
        <v>25.001000000000001</v>
      </c>
      <c r="G3" s="45"/>
      <c r="H3" s="45"/>
      <c r="I3" s="45"/>
      <c r="J3" s="45"/>
      <c r="K3" s="45"/>
    </row>
    <row r="4" spans="1:11" x14ac:dyDescent="0.25">
      <c r="A4" s="14" t="s">
        <v>32</v>
      </c>
      <c r="B4" s="45">
        <v>25</v>
      </c>
      <c r="C4" s="45">
        <v>24.998999999999999</v>
      </c>
      <c r="D4" s="45">
        <v>25.001999999999999</v>
      </c>
      <c r="E4" s="45">
        <v>25</v>
      </c>
      <c r="F4" s="45">
        <v>25.003</v>
      </c>
      <c r="G4" s="45"/>
      <c r="H4" s="45"/>
      <c r="I4" s="45"/>
      <c r="J4" s="45"/>
      <c r="K4" s="45"/>
    </row>
    <row r="5" spans="1:11" x14ac:dyDescent="0.25">
      <c r="A5" s="14" t="s">
        <v>33</v>
      </c>
      <c r="B5" s="15">
        <f ca="1">IF(COLUMN()-1&gt;'Study Setup'!$B$5,"",AVERAGE(OFFSET(B2,0,0,'Study Setup'!$B$7,1)))</f>
        <v>25.001000000000001</v>
      </c>
      <c r="C5" s="15">
        <f ca="1">IF(COLUMN()-1&gt;'Study Setup'!$B$5,"",AVERAGE(OFFSET(C2,0,0,'Study Setup'!$B$7,1)))</f>
        <v>24.998000000000001</v>
      </c>
      <c r="D5" s="15">
        <f ca="1">IF(COLUMN()-1&gt;'Study Setup'!$B$5,"",AVERAGE(OFFSET(D2,0,0,'Study Setup'!$B$7,1)))</f>
        <v>25.003</v>
      </c>
      <c r="E5" s="15">
        <f ca="1">IF(COLUMN()-1&gt;'Study Setup'!$B$5,"",AVERAGE(OFFSET(E2,0,0,'Study Setup'!$B$7,1)))</f>
        <v>24.998999999999999</v>
      </c>
      <c r="F5" s="15">
        <f ca="1">IF(COLUMN()-1&gt;'Study Setup'!$B$5,"",AVERAGE(OFFSET(F2,0,0,'Study Setup'!$B$7,1)))</f>
        <v>25.001999999999999</v>
      </c>
      <c r="G5" s="15" t="str">
        <f ca="1">IF(COLUMN()-1&gt;'Study Setup'!$B$5,"",AVERAGE(OFFSET(G2,0,0,'Study Setup'!$B$7,1)))</f>
        <v/>
      </c>
      <c r="H5" s="15" t="str">
        <f ca="1">IF(COLUMN()-1&gt;'Study Setup'!$B$5,"",AVERAGE(OFFSET(H2,0,0,'Study Setup'!$B$7,1)))</f>
        <v/>
      </c>
      <c r="I5" s="15" t="str">
        <f ca="1">IF(COLUMN()-1&gt;'Study Setup'!$B$5,"",AVERAGE(OFFSET(I2,0,0,'Study Setup'!$B$7,1)))</f>
        <v/>
      </c>
      <c r="J5" s="15" t="str">
        <f ca="1">IF(COLUMN()-1&gt;'Study Setup'!$B$5,"",AVERAGE(OFFSET(J2,0,0,'Study Setup'!$B$7,1)))</f>
        <v/>
      </c>
      <c r="K5" s="15" t="str">
        <f ca="1">IF(COLUMN()-1&gt;'Study Setup'!$B$5,"",AVERAGE(OFFSET(K2,0,0,'Study Setup'!$B$7,1)))</f>
        <v/>
      </c>
    </row>
    <row r="6" spans="1:11" x14ac:dyDescent="0.25">
      <c r="A6" s="14" t="s">
        <v>34</v>
      </c>
      <c r="B6" s="15">
        <f ca="1">IF(COLUMN()-1&gt;'Study Setup'!$B$5,"",MAX(OFFSET(B2,0,0,'Study Setup'!$B$7,1))-MIN(OFFSET(B2,0,0,'Study Setup'!$B$7,1)))</f>
        <v>1.9999999999988916E-3</v>
      </c>
      <c r="C6" s="15">
        <f ca="1">IF(COLUMN()-1&gt;'Study Setup'!$B$5,"",MAX(OFFSET(C2,0,0,'Study Setup'!$B$7,1))-MIN(OFFSET(C2,0,0,'Study Setup'!$B$7,1)))</f>
        <v>1.9999999999988916E-3</v>
      </c>
      <c r="D6" s="15">
        <f ca="1">IF(COLUMN()-1&gt;'Study Setup'!$B$5,"",MAX(OFFSET(D2,0,0,'Study Setup'!$B$7,1))-MIN(OFFSET(D2,0,0,'Study Setup'!$B$7,1)))</f>
        <v>2.0000000000024443E-3</v>
      </c>
      <c r="E6" s="15">
        <f ca="1">IF(COLUMN()-1&gt;'Study Setup'!$B$5,"",MAX(OFFSET(E2,0,0,'Study Setup'!$B$7,1))-MIN(OFFSET(E2,0,0,'Study Setup'!$B$7,1)))</f>
        <v>1.9999999999988916E-3</v>
      </c>
      <c r="F6" s="15">
        <f ca="1">IF(COLUMN()-1&gt;'Study Setup'!$B$5,"",MAX(OFFSET(F2,0,0,'Study Setup'!$B$7,1))-MIN(OFFSET(F2,0,0,'Study Setup'!$B$7,1)))</f>
        <v>1.9999999999988916E-3</v>
      </c>
      <c r="G6" s="15" t="str">
        <f ca="1">IF(COLUMN()-1&gt;'Study Setup'!$B$5,"",MAX(OFFSET(G2,0,0,'Study Setup'!$B$7,1))-MIN(OFFSET(G2,0,0,'Study Setup'!$B$7,1)))</f>
        <v/>
      </c>
      <c r="H6" s="15" t="str">
        <f ca="1">IF(COLUMN()-1&gt;'Study Setup'!$B$5,"",MAX(OFFSET(H2,0,0,'Study Setup'!$B$7,1))-MIN(OFFSET(H2,0,0,'Study Setup'!$B$7,1)))</f>
        <v/>
      </c>
      <c r="I6" s="15" t="str">
        <f ca="1">IF(COLUMN()-1&gt;'Study Setup'!$B$5,"",MAX(OFFSET(I2,0,0,'Study Setup'!$B$7,1))-MIN(OFFSET(I2,0,0,'Study Setup'!$B$7,1)))</f>
        <v/>
      </c>
      <c r="J6" s="15" t="str">
        <f ca="1">IF(COLUMN()-1&gt;'Study Setup'!$B$5,"",MAX(OFFSET(J2,0,0,'Study Setup'!$B$7,1))-MIN(OFFSET(J2,0,0,'Study Setup'!$B$7,1)))</f>
        <v/>
      </c>
      <c r="K6" s="15" t="str">
        <f ca="1">IF(COLUMN()-1&gt;'Study Setup'!$B$5,"",MAX(OFFSET(K2,0,0,'Study Setup'!$B$7,1))-MIN(OFFSET(K2,0,0,'Study Setup'!$B$7,1)))</f>
        <v/>
      </c>
    </row>
    <row r="7" spans="1:1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5">
      <c r="A8" s="14" t="s">
        <v>35</v>
      </c>
      <c r="B8" s="45">
        <v>25.001999999999999</v>
      </c>
      <c r="C8" s="45">
        <v>24.995999999999999</v>
      </c>
      <c r="D8" s="45">
        <v>25.004999999999999</v>
      </c>
      <c r="E8" s="45">
        <v>24.997</v>
      </c>
      <c r="F8" s="45">
        <v>25.003</v>
      </c>
      <c r="G8" s="45"/>
      <c r="H8" s="45"/>
      <c r="I8" s="45"/>
      <c r="J8" s="45"/>
      <c r="K8" s="45"/>
    </row>
    <row r="9" spans="1:11" x14ac:dyDescent="0.25">
      <c r="A9" s="14" t="s">
        <v>36</v>
      </c>
      <c r="B9" s="45">
        <v>25</v>
      </c>
      <c r="C9" s="45">
        <v>24.998999999999999</v>
      </c>
      <c r="D9" s="45">
        <v>25.003</v>
      </c>
      <c r="E9" s="45">
        <v>24.998999999999999</v>
      </c>
      <c r="F9" s="45">
        <v>25.001000000000001</v>
      </c>
      <c r="G9" s="45"/>
      <c r="H9" s="45"/>
      <c r="I9" s="45"/>
      <c r="J9" s="45"/>
      <c r="K9" s="45"/>
    </row>
    <row r="10" spans="1:11" x14ac:dyDescent="0.25">
      <c r="A10" s="14" t="s">
        <v>37</v>
      </c>
      <c r="B10" s="45">
        <v>25.003</v>
      </c>
      <c r="C10" s="45">
        <v>24.998000000000001</v>
      </c>
      <c r="D10" s="45">
        <v>25.004000000000001</v>
      </c>
      <c r="E10" s="45">
        <v>24.998000000000001</v>
      </c>
      <c r="F10" s="45">
        <v>25.001999999999999</v>
      </c>
      <c r="G10" s="45"/>
      <c r="H10" s="45"/>
      <c r="I10" s="45"/>
      <c r="J10" s="45"/>
      <c r="K10" s="45"/>
    </row>
    <row r="11" spans="1:11" x14ac:dyDescent="0.25">
      <c r="A11" s="14" t="s">
        <v>38</v>
      </c>
      <c r="B11" s="15">
        <f ca="1">IF(COLUMN()-1&gt;'Study Setup'!$B$5,"",AVERAGE(OFFSET(B8,0,0,'Study Setup'!$B$7,1)))</f>
        <v>25.001666666666665</v>
      </c>
      <c r="C11" s="15">
        <f ca="1">IF(COLUMN()-1&gt;'Study Setup'!$B$5,"",AVERAGE(OFFSET(C8,0,0,'Study Setup'!$B$7,1)))</f>
        <v>24.997666666666664</v>
      </c>
      <c r="D11" s="15">
        <f ca="1">IF(COLUMN()-1&gt;'Study Setup'!$B$5,"",AVERAGE(OFFSET(D8,0,0,'Study Setup'!$B$7,1)))</f>
        <v>25.004000000000001</v>
      </c>
      <c r="E11" s="15">
        <f ca="1">IF(COLUMN()-1&gt;'Study Setup'!$B$5,"",AVERAGE(OFFSET(E8,0,0,'Study Setup'!$B$7,1)))</f>
        <v>24.998000000000001</v>
      </c>
      <c r="F11" s="15">
        <f ca="1">IF(COLUMN()-1&gt;'Study Setup'!$B$5,"",AVERAGE(OFFSET(F8,0,0,'Study Setup'!$B$7,1)))</f>
        <v>25.001999999999999</v>
      </c>
      <c r="G11" s="15" t="str">
        <f ca="1">IF(COLUMN()-1&gt;'Study Setup'!$B$5,"",AVERAGE(OFFSET(G8,0,0,'Study Setup'!$B$7,1)))</f>
        <v/>
      </c>
      <c r="H11" s="15" t="str">
        <f ca="1">IF(COLUMN()-1&gt;'Study Setup'!$B$5,"",AVERAGE(OFFSET(H8,0,0,'Study Setup'!$B$7,1)))</f>
        <v/>
      </c>
      <c r="I11" s="15" t="str">
        <f ca="1">IF(COLUMN()-1&gt;'Study Setup'!$B$5,"",AVERAGE(OFFSET(I8,0,0,'Study Setup'!$B$7,1)))</f>
        <v/>
      </c>
      <c r="J11" s="15" t="str">
        <f ca="1">IF(COLUMN()-1&gt;'Study Setup'!$B$5,"",AVERAGE(OFFSET(J8,0,0,'Study Setup'!$B$7,1)))</f>
        <v/>
      </c>
      <c r="K11" s="15" t="str">
        <f ca="1">IF(COLUMN()-1&gt;'Study Setup'!$B$5,"",AVERAGE(OFFSET(K8,0,0,'Study Setup'!$B$7,1)))</f>
        <v/>
      </c>
    </row>
    <row r="12" spans="1:11" x14ac:dyDescent="0.25">
      <c r="A12" s="14" t="s">
        <v>39</v>
      </c>
      <c r="B12" s="15">
        <f ca="1">IF(COLUMN()-1&gt;'Study Setup'!$B$5,"",MAX(OFFSET(B8,0,0,'Study Setup'!$B$7,1))-MIN(OFFSET(B8,0,0,'Study Setup'!$B$7,1)))</f>
        <v>3.0000000000001137E-3</v>
      </c>
      <c r="C12" s="15">
        <f ca="1">IF(COLUMN()-1&gt;'Study Setup'!$B$5,"",MAX(OFFSET(C8,0,0,'Study Setup'!$B$7,1))-MIN(OFFSET(C8,0,0,'Study Setup'!$B$7,1)))</f>
        <v>3.0000000000001137E-3</v>
      </c>
      <c r="D12" s="15">
        <f ca="1">IF(COLUMN()-1&gt;'Study Setup'!$B$5,"",MAX(OFFSET(D8,0,0,'Study Setup'!$B$7,1))-MIN(OFFSET(D8,0,0,'Study Setup'!$B$7,1)))</f>
        <v>1.9999999999988916E-3</v>
      </c>
      <c r="E12" s="15">
        <f ca="1">IF(COLUMN()-1&gt;'Study Setup'!$B$5,"",MAX(OFFSET(E8,0,0,'Study Setup'!$B$7,1))-MIN(OFFSET(E8,0,0,'Study Setup'!$B$7,1)))</f>
        <v>1.9999999999988916E-3</v>
      </c>
      <c r="F12" s="15">
        <f ca="1">IF(COLUMN()-1&gt;'Study Setup'!$B$5,"",MAX(OFFSET(F8,0,0,'Study Setup'!$B$7,1))-MIN(OFFSET(F8,0,0,'Study Setup'!$B$7,1)))</f>
        <v>1.9999999999988916E-3</v>
      </c>
      <c r="G12" s="15" t="str">
        <f ca="1">IF(COLUMN()-1&gt;'Study Setup'!$B$5,"",MAX(OFFSET(G8,0,0,'Study Setup'!$B$7,1))-MIN(OFFSET(G8,0,0,'Study Setup'!$B$7,1)))</f>
        <v/>
      </c>
      <c r="H12" s="15" t="str">
        <f ca="1">IF(COLUMN()-1&gt;'Study Setup'!$B$5,"",MAX(OFFSET(H8,0,0,'Study Setup'!$B$7,1))-MIN(OFFSET(H8,0,0,'Study Setup'!$B$7,1)))</f>
        <v/>
      </c>
      <c r="I12" s="15" t="str">
        <f ca="1">IF(COLUMN()-1&gt;'Study Setup'!$B$5,"",MAX(OFFSET(I8,0,0,'Study Setup'!$B$7,1))-MIN(OFFSET(I8,0,0,'Study Setup'!$B$7,1)))</f>
        <v/>
      </c>
      <c r="J12" s="15" t="str">
        <f ca="1">IF(COLUMN()-1&gt;'Study Setup'!$B$5,"",MAX(OFFSET(J8,0,0,'Study Setup'!$B$7,1))-MIN(OFFSET(J8,0,0,'Study Setup'!$B$7,1)))</f>
        <v/>
      </c>
      <c r="K12" s="15" t="str">
        <f ca="1">IF(COLUMN()-1&gt;'Study Setup'!$B$5,"",MAX(OFFSET(K8,0,0,'Study Setup'!$B$7,1))-MIN(OFFSET(K8,0,0,'Study Setup'!$B$7,1)))</f>
        <v/>
      </c>
    </row>
    <row r="13" spans="1:1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5">
      <c r="A14" s="14" t="s">
        <v>69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1" x14ac:dyDescent="0.25">
      <c r="A15" s="14" t="s">
        <v>70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1" x14ac:dyDescent="0.25">
      <c r="A16" s="14" t="s">
        <v>71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</row>
    <row r="17" spans="1:11" x14ac:dyDescent="0.25">
      <c r="A17" s="14" t="s">
        <v>72</v>
      </c>
      <c r="B17" s="15" t="str">
        <f ca="1">IF(OR(COLUMN()-1&gt;'Study Setup'!$B$5,'Study Setup'!$B$6&lt;3),"",AVERAGE(OFFSET(B14,0,0,'Study Setup'!$B$7,1)))</f>
        <v/>
      </c>
      <c r="C17" s="15" t="str">
        <f ca="1">IF(OR(COLUMN()-1&gt;'Study Setup'!$B$5,'Study Setup'!$B$6&lt;3),"",AVERAGE(OFFSET(C14,0,0,'Study Setup'!$B$7,1)))</f>
        <v/>
      </c>
      <c r="D17" s="15" t="str">
        <f ca="1">IF(OR(COLUMN()-1&gt;'Study Setup'!$B$5,'Study Setup'!$B$6&lt;3),"",AVERAGE(OFFSET(D14,0,0,'Study Setup'!$B$7,1)))</f>
        <v/>
      </c>
      <c r="E17" s="15" t="str">
        <f ca="1">IF(OR(COLUMN()-1&gt;'Study Setup'!$B$5,'Study Setup'!$B$6&lt;3),"",AVERAGE(OFFSET(E14,0,0,'Study Setup'!$B$7,1)))</f>
        <v/>
      </c>
      <c r="F17" s="15" t="str">
        <f ca="1">IF(OR(COLUMN()-1&gt;'Study Setup'!$B$5,'Study Setup'!$B$6&lt;3),"",AVERAGE(OFFSET(F14,0,0,'Study Setup'!$B$7,1)))</f>
        <v/>
      </c>
      <c r="G17" s="15" t="str">
        <f ca="1">IF(OR(COLUMN()-1&gt;'Study Setup'!$B$5,'Study Setup'!$B$6&lt;3),"",AVERAGE(OFFSET(G14,0,0,'Study Setup'!$B$7,1)))</f>
        <v/>
      </c>
      <c r="H17" s="15" t="str">
        <f ca="1">IF(OR(COLUMN()-1&gt;'Study Setup'!$B$5,'Study Setup'!$B$6&lt;3),"",AVERAGE(OFFSET(H14,0,0,'Study Setup'!$B$7,1)))</f>
        <v/>
      </c>
      <c r="I17" s="15" t="str">
        <f ca="1">IF(OR(COLUMN()-1&gt;'Study Setup'!$B$5,'Study Setup'!$B$6&lt;3),"",AVERAGE(OFFSET(I14,0,0,'Study Setup'!$B$7,1)))</f>
        <v/>
      </c>
      <c r="J17" s="15" t="str">
        <f ca="1">IF(OR(COLUMN()-1&gt;'Study Setup'!$B$5,'Study Setup'!$B$6&lt;3),"",AVERAGE(OFFSET(J14,0,0,'Study Setup'!$B$7,1)))</f>
        <v/>
      </c>
      <c r="K17" s="15" t="str">
        <f ca="1">IF(OR(COLUMN()-1&gt;'Study Setup'!$B$5,'Study Setup'!$B$6&lt;3),"",AVERAGE(OFFSET(K14,0,0,'Study Setup'!$B$7,1)))</f>
        <v/>
      </c>
    </row>
    <row r="18" spans="1:11" x14ac:dyDescent="0.25">
      <c r="A18" s="14" t="s">
        <v>73</v>
      </c>
      <c r="B18" s="15" t="str">
        <f ca="1">IF(OR(COLUMN()-1&gt;'Study Setup'!$B$5,'Study Setup'!$B$6&lt;3),"",MAX(OFFSET(B14,0,0,'Study Setup'!$B$7,1))-MIN(OFFSET(B14,0,0,'Study Setup'!$B$7,1)))</f>
        <v/>
      </c>
      <c r="C18" s="15" t="str">
        <f ca="1">IF(OR(COLUMN()-1&gt;'Study Setup'!$B$5,'Study Setup'!$B$6&lt;3),"",MAX(OFFSET(C14,0,0,'Study Setup'!$B$7,1))-MIN(OFFSET(C14,0,0,'Study Setup'!$B$7,1)))</f>
        <v/>
      </c>
      <c r="D18" s="15" t="str">
        <f ca="1">IF(OR(COLUMN()-1&gt;'Study Setup'!$B$5,'Study Setup'!$B$6&lt;3),"",MAX(OFFSET(D14,0,0,'Study Setup'!$B$7,1))-MIN(OFFSET(D14,0,0,'Study Setup'!$B$7,1)))</f>
        <v/>
      </c>
      <c r="E18" s="15" t="str">
        <f ca="1">IF(OR(COLUMN()-1&gt;'Study Setup'!$B$5,'Study Setup'!$B$6&lt;3),"",MAX(OFFSET(E14,0,0,'Study Setup'!$B$7,1))-MIN(OFFSET(E14,0,0,'Study Setup'!$B$7,1)))</f>
        <v/>
      </c>
      <c r="F18" s="15" t="str">
        <f ca="1">IF(OR(COLUMN()-1&gt;'Study Setup'!$B$5,'Study Setup'!$B$6&lt;3),"",MAX(OFFSET(F14,0,0,'Study Setup'!$B$7,1))-MIN(OFFSET(F14,0,0,'Study Setup'!$B$7,1)))</f>
        <v/>
      </c>
      <c r="G18" s="15" t="str">
        <f ca="1">IF(OR(COLUMN()-1&gt;'Study Setup'!$B$5,'Study Setup'!$B$6&lt;3),"",MAX(OFFSET(G14,0,0,'Study Setup'!$B$7,1))-MIN(OFFSET(G14,0,0,'Study Setup'!$B$7,1)))</f>
        <v/>
      </c>
      <c r="H18" s="15" t="str">
        <f ca="1">IF(OR(COLUMN()-1&gt;'Study Setup'!$B$5,'Study Setup'!$B$6&lt;3),"",MAX(OFFSET(H14,0,0,'Study Setup'!$B$7,1))-MIN(OFFSET(H14,0,0,'Study Setup'!$B$7,1)))</f>
        <v/>
      </c>
      <c r="I18" s="15" t="str">
        <f ca="1">IF(OR(COLUMN()-1&gt;'Study Setup'!$B$5,'Study Setup'!$B$6&lt;3),"",MAX(OFFSET(I14,0,0,'Study Setup'!$B$7,1))-MIN(OFFSET(I14,0,0,'Study Setup'!$B$7,1)))</f>
        <v/>
      </c>
      <c r="J18" s="15" t="str">
        <f ca="1">IF(OR(COLUMN()-1&gt;'Study Setup'!$B$5,'Study Setup'!$B$6&lt;3),"",MAX(OFFSET(J14,0,0,'Study Setup'!$B$7,1))-MIN(OFFSET(J14,0,0,'Study Setup'!$B$7,1)))</f>
        <v/>
      </c>
      <c r="K18" s="15" t="str">
        <f ca="1">IF(OR(COLUMN()-1&gt;'Study Setup'!$B$5,'Study Setup'!$B$6&lt;3),"",MAX(OFFSET(K14,0,0,'Study Setup'!$B$7,1))-MIN(OFFSET(K14,0,0,'Study Setup'!$B$7,1)))</f>
        <v/>
      </c>
    </row>
    <row r="19" spans="1:11" x14ac:dyDescent="0.25">
      <c r="A19" s="4" t="s">
        <v>78</v>
      </c>
    </row>
    <row r="20" spans="1:11" x14ac:dyDescent="0.25">
      <c r="A20" s="14" t="s">
        <v>40</v>
      </c>
      <c r="B20" s="15">
        <f ca="1">AVERAGE(B6:K6)</f>
        <v>1.9999999999996019E-3</v>
      </c>
    </row>
    <row r="21" spans="1:11" x14ac:dyDescent="0.25">
      <c r="A21" s="14" t="s">
        <v>41</v>
      </c>
      <c r="B21" s="15">
        <f ca="1">AVERAGE(B12:K12)</f>
        <v>2.3999999999993805E-3</v>
      </c>
    </row>
    <row r="22" spans="1:11" x14ac:dyDescent="0.25">
      <c r="A22" s="14" t="s">
        <v>74</v>
      </c>
      <c r="B22" s="15" t="str">
        <f>IF('Study Setup'!$B$6&gt;=3,AVERAGE(B18:K18),"")</f>
        <v/>
      </c>
    </row>
    <row r="23" spans="1:11" x14ac:dyDescent="0.25">
      <c r="A23" s="14" t="s">
        <v>42</v>
      </c>
      <c r="B23" s="15">
        <f ca="1">AVERAGE(OFFSET(B20,0,0,'Study Setup'!$B$6,1))</f>
        <v>2.1999999999994914E-3</v>
      </c>
    </row>
    <row r="24" spans="1:11" x14ac:dyDescent="0.25">
      <c r="A24" s="14" t="s">
        <v>43</v>
      </c>
      <c r="B24" s="15">
        <f ca="1">AVERAGE(B5:K5)</f>
        <v>25.000599999999999</v>
      </c>
    </row>
    <row r="25" spans="1:11" x14ac:dyDescent="0.25">
      <c r="A25" s="14" t="s">
        <v>44</v>
      </c>
      <c r="B25" s="15">
        <f ca="1">AVERAGE(B11:K11)</f>
        <v>25.000666666666667</v>
      </c>
    </row>
    <row r="26" spans="1:11" x14ac:dyDescent="0.25">
      <c r="A26" s="14" t="s">
        <v>75</v>
      </c>
      <c r="B26" s="15" t="str">
        <f>IF('Study Setup'!$B$6&gt;=3,AVERAGE(B17:K17),"")</f>
        <v/>
      </c>
    </row>
    <row r="27" spans="1:11" x14ac:dyDescent="0.25">
      <c r="A27" s="14" t="s">
        <v>76</v>
      </c>
      <c r="B27" s="15">
        <f ca="1">MAX(OFFSET(B24,0,0,'Study Setup'!$B$6,1))-MIN(OFFSET(B24,0,0,'Study Setup'!$B$6,1))</f>
        <v>6.666666666887977E-5</v>
      </c>
    </row>
    <row r="28" spans="1:11" x14ac:dyDescent="0.25">
      <c r="A28" s="14" t="s">
        <v>77</v>
      </c>
      <c r="B28" s="15">
        <f ca="1">MAX(B5:K5,B11:K11,B17:K17)-MIN(B5:K5,B11:K11,B17:K17)</f>
        <v>6.3333333333375208E-3</v>
      </c>
    </row>
  </sheetData>
  <sheetProtection sheet="1" objects="1" scenarios="1"/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C80E921-6FEC-4E53-AAD2-5BF5F3B643B8}">
            <xm:f>COLUMN(B2)-1&gt;'Study Setup'!$B$5</xm:f>
            <x14:dxf>
              <font>
                <color rgb="FFAAAAAA"/>
              </font>
              <fill>
                <patternFill patternType="solid">
                  <fgColor indexed="64"/>
                  <bgColor rgb="FFEEEEEE"/>
                </patternFill>
              </fill>
            </x14:dxf>
          </x14:cfRule>
          <xm:sqref>B2:K18</xm:sqref>
        </x14:conditionalFormatting>
        <x14:conditionalFormatting xmlns:xm="http://schemas.microsoft.com/office/excel/2006/main">
          <x14:cfRule type="expression" priority="2" id="{1BA0B499-BA6B-46F7-9F5D-56D9798AEB98}">
            <xm:f>'Study Setup'!$B$6&lt;3</xm:f>
            <x14:dxf>
              <font>
                <color rgb="FFAAAAAA"/>
              </font>
              <fill>
                <patternFill patternType="solid">
                  <fgColor indexed="64"/>
                  <bgColor rgb="FFEEEEEE"/>
                </patternFill>
              </fill>
            </x14:dxf>
          </x14:cfRule>
          <xm:sqref>A19 A14:K18</xm:sqref>
        </x14:conditionalFormatting>
        <x14:conditionalFormatting xmlns:xm="http://schemas.microsoft.com/office/excel/2006/main">
          <x14:cfRule type="expression" priority="3" id="{8EFDB3D0-B466-4B0C-9583-EC92D8223047}">
            <xm:f>'Study Setup'!$B$7&lt;3</xm:f>
            <x14:dxf>
              <font>
                <color rgb="FFAAAAAA"/>
              </font>
              <fill>
                <patternFill patternType="solid">
                  <fgColor indexed="64"/>
                  <bgColor rgb="FFEEEEEE"/>
                </patternFill>
              </fill>
            </x14:dxf>
          </x14:cfRule>
          <xm:sqref>A4:K4</xm:sqref>
        </x14:conditionalFormatting>
        <x14:conditionalFormatting xmlns:xm="http://schemas.microsoft.com/office/excel/2006/main">
          <x14:cfRule type="expression" priority="4" id="{55D8E978-C0A0-41E6-B6A0-3DCD5EBA2116}">
            <xm:f>'Study Setup'!$B$7&lt;3</xm:f>
            <x14:dxf>
              <font>
                <color rgb="FFAAAAAA"/>
              </font>
              <fill>
                <patternFill patternType="solid">
                  <fgColor indexed="64"/>
                  <bgColor rgb="FFEEEEEE"/>
                </patternFill>
              </fill>
            </x14:dxf>
          </x14:cfRule>
          <xm:sqref>A10:K10</xm:sqref>
        </x14:conditionalFormatting>
        <x14:conditionalFormatting xmlns:xm="http://schemas.microsoft.com/office/excel/2006/main">
          <x14:cfRule type="expression" priority="5" id="{304C869C-39EE-41E8-B7D2-9D3EF91E5DD2}">
            <xm:f>'Study Setup'!$B$7&lt;3</xm:f>
            <x14:dxf>
              <font>
                <color rgb="FFAAAAAA"/>
              </font>
              <fill>
                <patternFill patternType="solid">
                  <fgColor indexed="64"/>
                  <bgColor rgb="FFEEEEEE"/>
                </patternFill>
              </fill>
            </x14:dxf>
          </x14:cfRule>
          <xm:sqref>A16:K16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0"/>
  <sheetViews>
    <sheetView showGridLines="0" workbookViewId="0"/>
  </sheetViews>
  <sheetFormatPr defaultRowHeight="15" x14ac:dyDescent="0.25"/>
  <cols>
    <col min="1" max="1" width="53.28515625" customWidth="1"/>
    <col min="2" max="2" width="26.7109375" customWidth="1"/>
  </cols>
  <sheetData>
    <row r="1" spans="1:2" ht="15.75" x14ac:dyDescent="0.25">
      <c r="A1" s="2" t="s">
        <v>79</v>
      </c>
    </row>
    <row r="2" spans="1:2" x14ac:dyDescent="0.25">
      <c r="A2" s="10" t="s">
        <v>45</v>
      </c>
      <c r="B2" s="17">
        <f>'Study Setup'!B7</f>
        <v>3</v>
      </c>
    </row>
    <row r="3" spans="1:2" x14ac:dyDescent="0.25">
      <c r="A3" s="10" t="s">
        <v>46</v>
      </c>
      <c r="B3" s="17">
        <f>'Study Setup'!B6</f>
        <v>2</v>
      </c>
    </row>
    <row r="4" spans="1:2" x14ac:dyDescent="0.25">
      <c r="A4" s="10" t="s">
        <v>47</v>
      </c>
      <c r="B4" s="17">
        <f>'Study Setup'!B5</f>
        <v>5</v>
      </c>
    </row>
    <row r="5" spans="1:2" x14ac:dyDescent="0.25">
      <c r="A5" s="10" t="s">
        <v>48</v>
      </c>
      <c r="B5" s="18">
        <f>'Study Setup'!B4</f>
        <v>0.06</v>
      </c>
    </row>
    <row r="7" spans="1:2" ht="15.75" x14ac:dyDescent="0.25">
      <c r="A7" s="2" t="s">
        <v>80</v>
      </c>
    </row>
    <row r="8" spans="1:2" x14ac:dyDescent="0.25">
      <c r="A8" s="10" t="s">
        <v>81</v>
      </c>
      <c r="B8" s="17">
        <f>IFERROR(INDEX('Constants Reference'!$B$3:$B$4,MATCH(B2,'Constants Reference'!$A$3:$A$4,0)),"")</f>
        <v>3.05</v>
      </c>
    </row>
    <row r="9" spans="1:2" x14ac:dyDescent="0.25">
      <c r="A9" s="10" t="s">
        <v>82</v>
      </c>
      <c r="B9" s="17">
        <f>IFERROR(INDEX('Constants Reference'!$B$8:$B$9,MATCH(B3,'Constants Reference'!$A$8:$A$9,0)),"")</f>
        <v>3.65</v>
      </c>
    </row>
    <row r="10" spans="1:2" x14ac:dyDescent="0.25">
      <c r="A10" s="10" t="s">
        <v>83</v>
      </c>
      <c r="B10" s="17">
        <f>IFERROR(INDEX('Constants Reference'!$B$13:$B$21,MATCH(B4,'Constants Reference'!$A$13:$A$21,0)),"")</f>
        <v>2.08</v>
      </c>
    </row>
    <row r="12" spans="1:2" ht="15.75" x14ac:dyDescent="0.25">
      <c r="A12" s="2" t="s">
        <v>84</v>
      </c>
    </row>
    <row r="13" spans="1:2" x14ac:dyDescent="0.25">
      <c r="A13" s="10" t="s">
        <v>85</v>
      </c>
      <c r="B13" s="19">
        <f ca="1">'Data Collection'!B23</f>
        <v>2.1999999999994914E-3</v>
      </c>
    </row>
    <row r="14" spans="1:2" x14ac:dyDescent="0.25">
      <c r="A14" s="10" t="s">
        <v>76</v>
      </c>
      <c r="B14" s="19">
        <f ca="1">'Data Collection'!B27</f>
        <v>6.666666666887977E-5</v>
      </c>
    </row>
    <row r="15" spans="1:2" x14ac:dyDescent="0.25">
      <c r="A15" s="10" t="s">
        <v>77</v>
      </c>
      <c r="B15" s="19">
        <f ca="1">'Data Collection'!B28</f>
        <v>6.3333333333375208E-3</v>
      </c>
    </row>
    <row r="17" spans="1:2" ht="15.75" x14ac:dyDescent="0.25">
      <c r="A17" s="2" t="s">
        <v>86</v>
      </c>
    </row>
    <row r="18" spans="1:2" x14ac:dyDescent="0.25">
      <c r="A18" s="10" t="s">
        <v>49</v>
      </c>
      <c r="B18" s="20">
        <f ca="1">B13*B8</f>
        <v>6.7099999999984481E-3</v>
      </c>
    </row>
    <row r="19" spans="1:2" x14ac:dyDescent="0.25">
      <c r="A19" s="10" t="s">
        <v>50</v>
      </c>
      <c r="B19" s="20">
        <f ca="1">IFERROR(SQRT(MAX(0,(B14*B9)^2-(B18^2)/(B4*B2))),"")</f>
        <v>0</v>
      </c>
    </row>
    <row r="20" spans="1:2" x14ac:dyDescent="0.25">
      <c r="A20" s="10" t="s">
        <v>51</v>
      </c>
      <c r="B20" s="20">
        <f ca="1">SQRT(B18^2+B19^2)</f>
        <v>6.7099999999984481E-3</v>
      </c>
    </row>
    <row r="21" spans="1:2" x14ac:dyDescent="0.25">
      <c r="A21" s="10" t="s">
        <v>52</v>
      </c>
      <c r="B21" s="20">
        <f ca="1">B15*B10</f>
        <v>1.3173333333342044E-2</v>
      </c>
    </row>
    <row r="22" spans="1:2" x14ac:dyDescent="0.25">
      <c r="A22" s="10" t="s">
        <v>53</v>
      </c>
      <c r="B22" s="20">
        <f ca="1">SQRT(B20^2+B21^2)</f>
        <v>1.4783802322519055E-2</v>
      </c>
    </row>
    <row r="24" spans="1:2" ht="15.75" x14ac:dyDescent="0.25">
      <c r="A24" s="2" t="s">
        <v>87</v>
      </c>
    </row>
    <row r="25" spans="1:2" x14ac:dyDescent="0.25">
      <c r="A25" s="10" t="s">
        <v>54</v>
      </c>
      <c r="B25" s="21">
        <f ca="1">IFERROR(100*B20/B22,"")</f>
        <v>45.387511640206455</v>
      </c>
    </row>
    <row r="26" spans="1:2" x14ac:dyDescent="0.25">
      <c r="A26" s="10" t="s">
        <v>55</v>
      </c>
      <c r="B26" s="21">
        <f ca="1">IFERROR(100*5.15*B20/B5,"")</f>
        <v>57.594166666653351</v>
      </c>
    </row>
    <row r="27" spans="1:2" x14ac:dyDescent="0.25">
      <c r="A27" s="10" t="s">
        <v>88</v>
      </c>
      <c r="B27" s="22">
        <f ca="1">IFERROR(INT(1.41*B21/B20),"")</f>
        <v>2</v>
      </c>
    </row>
    <row r="28" spans="1:2" ht="39.950000000000003" customHeight="1" x14ac:dyDescent="0.25"/>
    <row r="29" spans="1:2" x14ac:dyDescent="0.25">
      <c r="A29" s="10" t="s">
        <v>56</v>
      </c>
      <c r="B29" s="10" t="str">
        <f ca="1">IFERROR(IF(B25&lt;10,"Acceptable",IF(B25&lt;=30,"Marginal — may be acceptable","Unacceptable")),"")</f>
        <v>Unacceptable</v>
      </c>
    </row>
    <row r="30" spans="1:2" x14ac:dyDescent="0.25">
      <c r="A30" s="10" t="s">
        <v>57</v>
      </c>
      <c r="B30" s="10" t="str">
        <f ca="1">IFERROR(IF(B26&lt;10,"Acceptable",IF(B26&lt;=30,"Marginal — may be acceptable","Unacceptable")),"")</f>
        <v>Unacceptable</v>
      </c>
    </row>
    <row r="31" spans="1:2" x14ac:dyDescent="0.25">
      <c r="A31" s="10" t="s">
        <v>58</v>
      </c>
      <c r="B31" s="10" t="str">
        <f ca="1">IFERROR(IF(B27&gt;=5,"Acceptable","Insufficient resolution"),"")</f>
        <v>Insufficient resolution</v>
      </c>
    </row>
    <row r="32" spans="1:2" ht="15.75" x14ac:dyDescent="0.25">
      <c r="A32" s="4" t="s">
        <v>89</v>
      </c>
      <c r="B32" s="23" t="str">
        <f ca="1">IF(OR(B29="Unacceptable",B30="Unacceptable",B31="Insufficient resolution"),"REJECT",IF(OR(B29="Marginal — may be acceptable",B30="Marginal — may be acceptable"),"REVIEW","ACCEPT"))</f>
        <v>REJECT</v>
      </c>
    </row>
    <row r="34" spans="1:2" x14ac:dyDescent="0.25">
      <c r="A34" s="4" t="s">
        <v>90</v>
      </c>
    </row>
    <row r="35" spans="1:2" x14ac:dyDescent="0.25">
      <c r="A35" s="10" t="s">
        <v>91</v>
      </c>
      <c r="B35" s="21">
        <f ca="1">IFERROR(100*B18/B22,"")</f>
        <v>45.387511640206455</v>
      </c>
    </row>
    <row r="36" spans="1:2" x14ac:dyDescent="0.25">
      <c r="A36" s="10" t="s">
        <v>92</v>
      </c>
      <c r="B36" s="21">
        <f ca="1">IFERROR(100*B19/B22,"")</f>
        <v>0</v>
      </c>
    </row>
    <row r="37" spans="1:2" x14ac:dyDescent="0.25">
      <c r="A37" s="10" t="s">
        <v>93</v>
      </c>
      <c r="B37" s="21">
        <f ca="1">IFERROR(100*B20/B22,"")</f>
        <v>45.387511640206455</v>
      </c>
    </row>
    <row r="38" spans="1:2" x14ac:dyDescent="0.25">
      <c r="A38" s="10" t="s">
        <v>94</v>
      </c>
      <c r="B38" s="21">
        <f ca="1">IFERROR(100*B21/B22,"")</f>
        <v>89.106530552536498</v>
      </c>
    </row>
    <row r="40" spans="1:2" x14ac:dyDescent="0.25">
      <c r="A40" s="24" t="s">
        <v>59</v>
      </c>
    </row>
  </sheetData>
  <sheetProtection sheet="1" objects="1" scenarios="1"/>
  <conditionalFormatting sqref="B29">
    <cfRule type="expression" dxfId="13" priority="1">
      <formula>EXACT(B29,"Acceptable")</formula>
    </cfRule>
  </conditionalFormatting>
  <conditionalFormatting sqref="B30">
    <cfRule type="expression" dxfId="12" priority="2">
      <formula>EXACT(B30,"Acceptable")</formula>
    </cfRule>
  </conditionalFormatting>
  <conditionalFormatting sqref="B31">
    <cfRule type="expression" dxfId="11" priority="3">
      <formula>EXACT(B31,"Acceptable")</formula>
    </cfRule>
  </conditionalFormatting>
  <conditionalFormatting sqref="B29">
    <cfRule type="expression" dxfId="10" priority="4">
      <formula>EXACT(B29,"Marginal — may be acceptable")</formula>
    </cfRule>
  </conditionalFormatting>
  <conditionalFormatting sqref="B30">
    <cfRule type="expression" dxfId="9" priority="5">
      <formula>EXACT(B30,"Marginal — may be acceptable")</formula>
    </cfRule>
  </conditionalFormatting>
  <conditionalFormatting sqref="B29">
    <cfRule type="expression" dxfId="8" priority="6">
      <formula>EXACT(B29,"Unacceptable")</formula>
    </cfRule>
  </conditionalFormatting>
  <conditionalFormatting sqref="B30">
    <cfRule type="expression" dxfId="7" priority="7">
      <formula>EXACT(B30,"Unacceptable")</formula>
    </cfRule>
  </conditionalFormatting>
  <conditionalFormatting sqref="B31">
    <cfRule type="expression" dxfId="6" priority="8">
      <formula>EXACT(B31,"Insufficient resolution")</formula>
    </cfRule>
  </conditionalFormatting>
  <conditionalFormatting sqref="B32">
    <cfRule type="expression" dxfId="5" priority="9">
      <formula>EXACT(B32,"ACCEPT")</formula>
    </cfRule>
  </conditionalFormatting>
  <conditionalFormatting sqref="B32">
    <cfRule type="expression" dxfId="4" priority="10">
      <formula>EXACT(B32,"REVIEW")</formula>
    </cfRule>
  </conditionalFormatting>
  <conditionalFormatting sqref="B32">
    <cfRule type="expression" dxfId="3" priority="11">
      <formula>EXACT(B32,"REJECT")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showGridLines="0" workbookViewId="0"/>
  </sheetViews>
  <sheetFormatPr defaultRowHeight="15" x14ac:dyDescent="0.25"/>
  <cols>
    <col min="1" max="1" width="14" customWidth="1"/>
    <col min="2" max="2" width="10" customWidth="1"/>
  </cols>
  <sheetData>
    <row r="1" spans="1:2" x14ac:dyDescent="0.25">
      <c r="A1" s="4" t="s">
        <v>6</v>
      </c>
    </row>
    <row r="2" spans="1:2" x14ac:dyDescent="0.25">
      <c r="A2" s="5" t="s">
        <v>7</v>
      </c>
      <c r="B2" s="5" t="s">
        <v>8</v>
      </c>
    </row>
    <row r="3" spans="1:2" x14ac:dyDescent="0.25">
      <c r="A3" s="6">
        <v>2</v>
      </c>
      <c r="B3" s="6">
        <v>4.5599999999999996</v>
      </c>
    </row>
    <row r="4" spans="1:2" x14ac:dyDescent="0.25">
      <c r="A4" s="6">
        <v>3</v>
      </c>
      <c r="B4" s="6">
        <v>3.05</v>
      </c>
    </row>
    <row r="6" spans="1:2" x14ac:dyDescent="0.25">
      <c r="A6" s="4" t="s">
        <v>9</v>
      </c>
    </row>
    <row r="7" spans="1:2" x14ac:dyDescent="0.25">
      <c r="A7" s="5" t="s">
        <v>10</v>
      </c>
      <c r="B7" s="5" t="s">
        <v>11</v>
      </c>
    </row>
    <row r="8" spans="1:2" x14ac:dyDescent="0.25">
      <c r="A8" s="6">
        <v>2</v>
      </c>
      <c r="B8" s="6">
        <v>3.65</v>
      </c>
    </row>
    <row r="9" spans="1:2" x14ac:dyDescent="0.25">
      <c r="A9" s="6">
        <v>3</v>
      </c>
      <c r="B9" s="6">
        <v>2.7</v>
      </c>
    </row>
    <row r="11" spans="1:2" x14ac:dyDescent="0.25">
      <c r="A11" s="4" t="s">
        <v>12</v>
      </c>
    </row>
    <row r="12" spans="1:2" x14ac:dyDescent="0.25">
      <c r="A12" s="5" t="s">
        <v>13</v>
      </c>
      <c r="B12" s="5" t="s">
        <v>14</v>
      </c>
    </row>
    <row r="13" spans="1:2" x14ac:dyDescent="0.25">
      <c r="A13" s="6">
        <v>2</v>
      </c>
      <c r="B13" s="6">
        <v>3.65</v>
      </c>
    </row>
    <row r="14" spans="1:2" x14ac:dyDescent="0.25">
      <c r="A14" s="6">
        <v>3</v>
      </c>
      <c r="B14" s="6">
        <v>2.7</v>
      </c>
    </row>
    <row r="15" spans="1:2" x14ac:dyDescent="0.25">
      <c r="A15" s="6">
        <v>4</v>
      </c>
      <c r="B15" s="6">
        <v>2.2999999999999998</v>
      </c>
    </row>
    <row r="16" spans="1:2" x14ac:dyDescent="0.25">
      <c r="A16" s="6">
        <v>5</v>
      </c>
      <c r="B16" s="6">
        <v>2.08</v>
      </c>
    </row>
    <row r="17" spans="1:2" x14ac:dyDescent="0.25">
      <c r="A17" s="6">
        <v>6</v>
      </c>
      <c r="B17" s="6">
        <v>1.93</v>
      </c>
    </row>
    <row r="18" spans="1:2" x14ac:dyDescent="0.25">
      <c r="A18" s="6">
        <v>7</v>
      </c>
      <c r="B18" s="6">
        <v>1.82</v>
      </c>
    </row>
    <row r="19" spans="1:2" x14ac:dyDescent="0.25">
      <c r="A19" s="6">
        <v>8</v>
      </c>
      <c r="B19" s="6">
        <v>1.74</v>
      </c>
    </row>
    <row r="20" spans="1:2" x14ac:dyDescent="0.25">
      <c r="A20" s="6">
        <v>9</v>
      </c>
      <c r="B20" s="6">
        <v>1.67</v>
      </c>
    </row>
    <row r="21" spans="1:2" x14ac:dyDescent="0.25">
      <c r="A21" s="6">
        <v>10</v>
      </c>
      <c r="B21" s="6">
        <v>1.62</v>
      </c>
    </row>
    <row r="23" spans="1:2" x14ac:dyDescent="0.25">
      <c r="A23" s="7" t="s">
        <v>15</v>
      </c>
    </row>
    <row r="25" spans="1:2" x14ac:dyDescent="0.25">
      <c r="A25" s="4" t="s">
        <v>66</v>
      </c>
    </row>
    <row r="26" spans="1:2" x14ac:dyDescent="0.25">
      <c r="A26" s="8" t="s">
        <v>7</v>
      </c>
      <c r="B26" s="8" t="s">
        <v>67</v>
      </c>
    </row>
    <row r="27" spans="1:2" x14ac:dyDescent="0.25">
      <c r="A27" s="9">
        <v>2</v>
      </c>
      <c r="B27" s="9">
        <v>3.2669999999999999</v>
      </c>
    </row>
    <row r="28" spans="1:2" x14ac:dyDescent="0.25">
      <c r="A28" s="9">
        <v>3</v>
      </c>
      <c r="B28" s="9">
        <v>2.5750000000000002</v>
      </c>
    </row>
    <row r="30" spans="1:2" x14ac:dyDescent="0.25">
      <c r="A30" s="7" t="s">
        <v>68</v>
      </c>
    </row>
  </sheetData>
  <sheetProtection sheet="1" objects="1" scenario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How-To</vt:lpstr>
      <vt:lpstr>Dashboard</vt:lpstr>
      <vt:lpstr>Study Setup</vt:lpstr>
      <vt:lpstr>Data Collection</vt:lpstr>
      <vt:lpstr>GRR Calculations</vt:lpstr>
      <vt:lpstr>Constants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2026-09-05T06:13:52Z</dcterms:created>
  <dcterms:modified xsi:type="dcterms:W3CDTF">2026-09-05T22:03:19Z</dcterms:modified>
</cp:coreProperties>
</file>