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ow_g\Downloads\"/>
    </mc:Choice>
  </mc:AlternateContent>
  <xr:revisionPtr revIDLastSave="0" documentId="13_ncr:1_{8D1437E0-E14E-413C-AA70-60C10D69A81C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How-To" sheetId="1" r:id="rId1"/>
    <sheet name="Dashboard" sheetId="6" r:id="rId2"/>
    <sheet name="Raw Data Collection" sheetId="3" r:id="rId3"/>
    <sheet name="X-bar R Control Chart" sheetId="5" r:id="rId4"/>
    <sheet name="Capability Calculations" sheetId="4" r:id="rId5"/>
    <sheet name="d2 Constants Reference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6" l="1"/>
  <c r="B19" i="6"/>
  <c r="B17" i="6"/>
  <c r="B16" i="6"/>
  <c r="B15" i="6"/>
  <c r="B14" i="6"/>
  <c r="B13" i="6"/>
  <c r="B12" i="6"/>
  <c r="B8" i="6"/>
  <c r="F6" i="6"/>
  <c r="E6" i="6"/>
  <c r="D6" i="6"/>
  <c r="C6" i="6"/>
  <c r="B6" i="6"/>
  <c r="A2" i="6"/>
  <c r="A42" i="4"/>
  <c r="D41" i="4"/>
  <c r="C41" i="4"/>
  <c r="B41" i="4"/>
  <c r="A41" i="4"/>
  <c r="B40" i="4"/>
  <c r="A40" i="4"/>
  <c r="B37" i="4"/>
  <c r="B35" i="4"/>
  <c r="B34" i="4"/>
  <c r="B27" i="4"/>
  <c r="B25" i="4"/>
  <c r="B24" i="4"/>
  <c r="B22" i="4"/>
  <c r="B21" i="4"/>
  <c r="I53" i="5"/>
  <c r="H53" i="5"/>
  <c r="G53" i="5"/>
  <c r="F53" i="5"/>
  <c r="E53" i="5"/>
  <c r="D53" i="5"/>
  <c r="I52" i="5"/>
  <c r="H52" i="5"/>
  <c r="G52" i="5"/>
  <c r="F52" i="5"/>
  <c r="E52" i="5"/>
  <c r="D52" i="5"/>
  <c r="I51" i="5"/>
  <c r="H51" i="5"/>
  <c r="G51" i="5"/>
  <c r="F51" i="5"/>
  <c r="E51" i="5"/>
  <c r="D51" i="5"/>
  <c r="I50" i="5"/>
  <c r="H50" i="5"/>
  <c r="G50" i="5"/>
  <c r="F50" i="5"/>
  <c r="E50" i="5"/>
  <c r="D50" i="5"/>
  <c r="I49" i="5"/>
  <c r="H49" i="5"/>
  <c r="G49" i="5"/>
  <c r="F49" i="5"/>
  <c r="E49" i="5"/>
  <c r="D49" i="5"/>
  <c r="I48" i="5"/>
  <c r="H48" i="5"/>
  <c r="G48" i="5"/>
  <c r="F48" i="5"/>
  <c r="E48" i="5"/>
  <c r="D48" i="5"/>
  <c r="I47" i="5"/>
  <c r="H47" i="5"/>
  <c r="G47" i="5"/>
  <c r="F47" i="5"/>
  <c r="E47" i="5"/>
  <c r="D47" i="5"/>
  <c r="I46" i="5"/>
  <c r="H46" i="5"/>
  <c r="G46" i="5"/>
  <c r="F46" i="5"/>
  <c r="E46" i="5"/>
  <c r="D46" i="5"/>
  <c r="I45" i="5"/>
  <c r="H45" i="5"/>
  <c r="G45" i="5"/>
  <c r="F45" i="5"/>
  <c r="E45" i="5"/>
  <c r="D45" i="5"/>
  <c r="I44" i="5"/>
  <c r="H44" i="5"/>
  <c r="G44" i="5"/>
  <c r="F44" i="5"/>
  <c r="E44" i="5"/>
  <c r="D44" i="5"/>
  <c r="I43" i="5"/>
  <c r="H43" i="5"/>
  <c r="G43" i="5"/>
  <c r="F43" i="5"/>
  <c r="E43" i="5"/>
  <c r="D43" i="5"/>
  <c r="I42" i="5"/>
  <c r="H42" i="5"/>
  <c r="G42" i="5"/>
  <c r="F42" i="5"/>
  <c r="E42" i="5"/>
  <c r="D42" i="5"/>
  <c r="I41" i="5"/>
  <c r="H41" i="5"/>
  <c r="G41" i="5"/>
  <c r="F41" i="5"/>
  <c r="E41" i="5"/>
  <c r="D41" i="5"/>
  <c r="I40" i="5"/>
  <c r="H40" i="5"/>
  <c r="G40" i="5"/>
  <c r="F40" i="5"/>
  <c r="E40" i="5"/>
  <c r="D40" i="5"/>
  <c r="I39" i="5"/>
  <c r="H39" i="5"/>
  <c r="G39" i="5"/>
  <c r="F39" i="5"/>
  <c r="E39" i="5"/>
  <c r="D39" i="5"/>
  <c r="I38" i="5"/>
  <c r="H38" i="5"/>
  <c r="G38" i="5"/>
  <c r="F38" i="5"/>
  <c r="E38" i="5"/>
  <c r="D38" i="5"/>
  <c r="I37" i="5"/>
  <c r="H37" i="5"/>
  <c r="G37" i="5"/>
  <c r="F37" i="5"/>
  <c r="E37" i="5"/>
  <c r="D37" i="5"/>
  <c r="I36" i="5"/>
  <c r="H36" i="5"/>
  <c r="G36" i="5"/>
  <c r="F36" i="5"/>
  <c r="E36" i="5"/>
  <c r="D36" i="5"/>
  <c r="I35" i="5"/>
  <c r="H35" i="5"/>
  <c r="G35" i="5"/>
  <c r="F35" i="5"/>
  <c r="E35" i="5"/>
  <c r="D35" i="5"/>
  <c r="I34" i="5"/>
  <c r="H34" i="5"/>
  <c r="G34" i="5"/>
  <c r="F34" i="5"/>
  <c r="E34" i="5"/>
  <c r="D34" i="5"/>
  <c r="I33" i="5"/>
  <c r="H33" i="5"/>
  <c r="G33" i="5"/>
  <c r="F33" i="5"/>
  <c r="E33" i="5"/>
  <c r="D33" i="5"/>
  <c r="I32" i="5"/>
  <c r="H32" i="5"/>
  <c r="G32" i="5"/>
  <c r="F32" i="5"/>
  <c r="E32" i="5"/>
  <c r="D32" i="5"/>
  <c r="I31" i="5"/>
  <c r="H31" i="5"/>
  <c r="G31" i="5"/>
  <c r="F31" i="5"/>
  <c r="E31" i="5"/>
  <c r="D31" i="5"/>
  <c r="I30" i="5"/>
  <c r="H30" i="5"/>
  <c r="G30" i="5"/>
  <c r="F30" i="5"/>
  <c r="E30" i="5"/>
  <c r="D30" i="5"/>
  <c r="I29" i="5"/>
  <c r="H29" i="5"/>
  <c r="G29" i="5"/>
  <c r="F29" i="5"/>
  <c r="E29" i="5"/>
  <c r="D29" i="5"/>
  <c r="I28" i="5"/>
  <c r="H28" i="5"/>
  <c r="G28" i="5"/>
  <c r="F28" i="5"/>
  <c r="E28" i="5"/>
  <c r="D28" i="5"/>
  <c r="I27" i="5"/>
  <c r="H27" i="5"/>
  <c r="G27" i="5"/>
  <c r="F27" i="5"/>
  <c r="E27" i="5"/>
  <c r="D27" i="5"/>
  <c r="I26" i="5"/>
  <c r="H26" i="5"/>
  <c r="G26" i="5"/>
  <c r="F26" i="5"/>
  <c r="E26" i="5"/>
  <c r="D26" i="5"/>
  <c r="I25" i="5"/>
  <c r="H25" i="5"/>
  <c r="G25" i="5"/>
  <c r="F25" i="5"/>
  <c r="E25" i="5"/>
  <c r="D25" i="5"/>
  <c r="G24" i="5"/>
  <c r="H24" i="5"/>
  <c r="I24" i="5"/>
  <c r="D24" i="5"/>
  <c r="E24" i="5"/>
  <c r="F24" i="5"/>
  <c r="C53" i="5"/>
  <c r="B53" i="5"/>
  <c r="A53" i="5"/>
  <c r="C52" i="5"/>
  <c r="B52" i="5"/>
  <c r="A52" i="5"/>
  <c r="K51" i="5"/>
  <c r="J51" i="5"/>
  <c r="C51" i="5"/>
  <c r="B51" i="5"/>
  <c r="A51" i="5"/>
  <c r="C50" i="5"/>
  <c r="B50" i="5"/>
  <c r="A50" i="5"/>
  <c r="C49" i="5"/>
  <c r="B49" i="5"/>
  <c r="A49" i="5"/>
  <c r="C48" i="5"/>
  <c r="B48" i="5"/>
  <c r="A48" i="5"/>
  <c r="C47" i="5"/>
  <c r="B47" i="5"/>
  <c r="A47" i="5"/>
  <c r="C46" i="5"/>
  <c r="B46" i="5"/>
  <c r="A46" i="5"/>
  <c r="C45" i="5"/>
  <c r="B45" i="5"/>
  <c r="A45" i="5"/>
  <c r="C44" i="5"/>
  <c r="B44" i="5"/>
  <c r="A44" i="5"/>
  <c r="C43" i="5"/>
  <c r="B43" i="5"/>
  <c r="A43" i="5"/>
  <c r="C42" i="5"/>
  <c r="B42" i="5"/>
  <c r="A42" i="5"/>
  <c r="C41" i="5"/>
  <c r="B41" i="5"/>
  <c r="A41" i="5"/>
  <c r="C40" i="5"/>
  <c r="B40" i="5"/>
  <c r="A40" i="5"/>
  <c r="C39" i="5"/>
  <c r="B39" i="5"/>
  <c r="A39" i="5"/>
  <c r="C38" i="5"/>
  <c r="B38" i="5"/>
  <c r="A38" i="5"/>
  <c r="C37" i="5"/>
  <c r="B37" i="5"/>
  <c r="A37" i="5"/>
  <c r="C36" i="5"/>
  <c r="B36" i="5"/>
  <c r="A36" i="5"/>
  <c r="C35" i="5"/>
  <c r="B35" i="5"/>
  <c r="A35" i="5"/>
  <c r="C34" i="5"/>
  <c r="B34" i="5"/>
  <c r="A34" i="5"/>
  <c r="C33" i="5"/>
  <c r="B33" i="5"/>
  <c r="A33" i="5"/>
  <c r="C32" i="5"/>
  <c r="B32" i="5"/>
  <c r="A32" i="5"/>
  <c r="C31" i="5"/>
  <c r="B31" i="5"/>
  <c r="A31" i="5"/>
  <c r="K30" i="5"/>
  <c r="J30" i="5"/>
  <c r="C30" i="5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C25" i="5"/>
  <c r="B25" i="5"/>
  <c r="A25" i="5"/>
  <c r="K24" i="5"/>
  <c r="J24" i="5"/>
  <c r="C24" i="5"/>
  <c r="B24" i="5"/>
  <c r="A24" i="5"/>
  <c r="B20" i="5"/>
  <c r="B19" i="5"/>
  <c r="B18" i="5"/>
  <c r="B15" i="5"/>
  <c r="B14" i="5"/>
  <c r="B13" i="5"/>
  <c r="B10" i="5"/>
  <c r="B9" i="5"/>
  <c r="B8" i="5"/>
  <c r="B7" i="5"/>
  <c r="B6" i="5"/>
  <c r="B5" i="5"/>
  <c r="H40" i="3"/>
  <c r="G40" i="3"/>
  <c r="H39" i="3"/>
  <c r="G39" i="3"/>
  <c r="H38" i="3"/>
  <c r="G38" i="3"/>
  <c r="H37" i="3"/>
  <c r="G37" i="3"/>
  <c r="H36" i="3"/>
  <c r="G36" i="3"/>
  <c r="B9" i="4"/>
  <c r="B6" i="4"/>
  <c r="B5" i="4"/>
  <c r="B3" i="4"/>
  <c r="B7" i="4" s="1"/>
  <c r="B2" i="4"/>
  <c r="B1" i="4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D42" i="4" l="1"/>
  <c r="B42" i="4"/>
  <c r="C42" i="4" s="1"/>
  <c r="A43" i="4"/>
  <c r="K53" i="5"/>
  <c r="J53" i="5"/>
  <c r="K52" i="5"/>
  <c r="J52" i="5"/>
  <c r="K50" i="5"/>
  <c r="J50" i="5"/>
  <c r="K49" i="5"/>
  <c r="J49" i="5"/>
  <c r="K48" i="5"/>
  <c r="J48" i="5"/>
  <c r="K47" i="5"/>
  <c r="J47" i="5"/>
  <c r="K46" i="5"/>
  <c r="J46" i="5"/>
  <c r="K45" i="5"/>
  <c r="J45" i="5"/>
  <c r="K44" i="5"/>
  <c r="J44" i="5"/>
  <c r="K43" i="5"/>
  <c r="J43" i="5"/>
  <c r="K42" i="5"/>
  <c r="J42" i="5"/>
  <c r="K41" i="5"/>
  <c r="J41" i="5"/>
  <c r="K40" i="5"/>
  <c r="J40" i="5"/>
  <c r="K39" i="5"/>
  <c r="J39" i="5"/>
  <c r="K38" i="5"/>
  <c r="J38" i="5"/>
  <c r="K37" i="5"/>
  <c r="J37" i="5"/>
  <c r="K36" i="5"/>
  <c r="J36" i="5"/>
  <c r="K35" i="5"/>
  <c r="J35" i="5"/>
  <c r="K34" i="5"/>
  <c r="J34" i="5"/>
  <c r="K33" i="5"/>
  <c r="J33" i="5"/>
  <c r="K32" i="5"/>
  <c r="J32" i="5"/>
  <c r="K31" i="5"/>
  <c r="J31" i="5"/>
  <c r="K29" i="5"/>
  <c r="J29" i="5"/>
  <c r="K28" i="5"/>
  <c r="J28" i="5"/>
  <c r="K27" i="5"/>
  <c r="J27" i="5"/>
  <c r="K26" i="5"/>
  <c r="J26" i="5"/>
  <c r="K25" i="5"/>
  <c r="J25" i="5"/>
  <c r="B18" i="4"/>
  <c r="B17" i="4"/>
  <c r="B19" i="4" s="1"/>
  <c r="B16" i="4"/>
  <c r="B8" i="4"/>
  <c r="B43" i="4" l="1"/>
  <c r="C43" i="4" s="1"/>
  <c r="D43" i="4"/>
  <c r="A44" i="4"/>
  <c r="B11" i="4"/>
  <c r="B13" i="4"/>
  <c r="B12" i="4"/>
  <c r="B14" i="4"/>
  <c r="B44" i="4" l="1"/>
  <c r="C44" i="4" s="1"/>
  <c r="D44" i="4"/>
  <c r="A45" i="4"/>
  <c r="B45" i="4" l="1"/>
  <c r="C45" i="4" s="1"/>
  <c r="D45" i="4"/>
  <c r="A46" i="4"/>
  <c r="B46" i="4" l="1"/>
  <c r="C46" i="4" s="1"/>
  <c r="A47" i="4"/>
  <c r="D46" i="4"/>
  <c r="B47" i="4" l="1"/>
  <c r="C47" i="4" s="1"/>
  <c r="D47" i="4"/>
  <c r="A48" i="4"/>
  <c r="B48" i="4" l="1"/>
  <c r="C48" i="4" s="1"/>
  <c r="D48" i="4"/>
  <c r="A49" i="4"/>
  <c r="B49" i="4" l="1"/>
  <c r="C49" i="4" s="1"/>
  <c r="D49" i="4"/>
</calcChain>
</file>

<file path=xl/sharedStrings.xml><?xml version="1.0" encoding="utf-8"?>
<sst xmlns="http://schemas.openxmlformats.org/spreadsheetml/2006/main" count="141" uniqueCount="134">
  <si>
    <t>Process Capability Study Data Sheet</t>
  </si>
  <si>
    <t>What this workbook is for</t>
  </si>
  <si>
    <t>How to use it</t>
  </si>
  <si>
    <t>Reference</t>
  </si>
  <si>
    <t>Full method and a worked example: sixsigmakaizen.com/guides/process-capability/</t>
  </si>
  <si>
    <t>Companion calculator: sixsigmakaizen.com/tools/process-capability-helper/</t>
  </si>
  <si>
    <t>n (subgroup size)</t>
  </si>
  <si>
    <t>d2</t>
  </si>
  <si>
    <t>Part / Product:</t>
  </si>
  <si>
    <t>Ridgeline Housing 4210</t>
  </si>
  <si>
    <t>Characteristic:</t>
  </si>
  <si>
    <t>Bore diameter</t>
  </si>
  <si>
    <t>USL (Upper Spec Limit):</t>
  </si>
  <si>
    <t>LSL (Lower Spec Limit):</t>
  </si>
  <si>
    <t>Subgroup size (n):</t>
  </si>
  <si>
    <t>Prepared by:</t>
  </si>
  <si>
    <t>Enter name</t>
  </si>
  <si>
    <t>Date:</t>
  </si>
  <si>
    <t>Enter date</t>
  </si>
  <si>
    <t>Subgroup #</t>
  </si>
  <si>
    <t>Reading 1</t>
  </si>
  <si>
    <t>Reading 2</t>
  </si>
  <si>
    <t>Reading 3</t>
  </si>
  <si>
    <t>Reading 4</t>
  </si>
  <si>
    <t>Reading 5</t>
  </si>
  <si>
    <t>Average</t>
  </si>
  <si>
    <t>Range</t>
  </si>
  <si>
    <t>USL:</t>
  </si>
  <si>
    <t>LSL:</t>
  </si>
  <si>
    <t>X-double-bar (grand average):</t>
  </si>
  <si>
    <t>R-bar (average range):</t>
  </si>
  <si>
    <t>d2 (from d2 Constants Reference, by n):</t>
  </si>
  <si>
    <t>Sigma-within (R-bar / d2):</t>
  </si>
  <si>
    <t>Sigma-overall (sample st. dev. of all readings):</t>
  </si>
  <si>
    <t>Cp (=(USL-LSL)/(6 x sigma-within)):</t>
  </si>
  <si>
    <t>Cpu (=(USL-Xbb)/(3 x sigma-within)):</t>
  </si>
  <si>
    <t>Cpl (=(Xbb-LSL)/(3 x sigma-within)):</t>
  </si>
  <si>
    <t>Cpk (=MIN(Cpu, Cpl)):</t>
  </si>
  <si>
    <t>Pp (=(USL-LSL)/(6 x sigma-overall)):</t>
  </si>
  <si>
    <t>Ppu (=(USL-Xbb)/(3 x sigma-overall)):</t>
  </si>
  <si>
    <t>Ppl (=(Xbb-LSL)/(3 x sigma-overall)):</t>
  </si>
  <si>
    <t>Ppk (=MIN(Ppu, Ppl)):</t>
  </si>
  <si>
    <t>Cp / Cpk / Pp / Ppk analysis built on X-bar &amp; R subgroup data, with control-chart verification and a management dashboard.</t>
  </si>
  <si>
    <t>This workbook collects the same subgroup data used for an X-bar/R control chart and turns it into a full process capability study: short-term capability (Cp, Cpk, Cpm) and long-term performance (Pp, Ppk), plus the control chart needed to confirm the process is stable before you trust those numbers.</t>
  </si>
  <si>
    <t>One-page summary: key indices, capability rating, and both charts.</t>
  </si>
  <si>
    <t>Enter part info, spec limits, and subgroup readings here.</t>
  </si>
  <si>
    <t>Confirms statistical control before you trust the capability numbers.</t>
  </si>
  <si>
    <t>Cp, Cpk, Cpm, Pp, Ppk, PPM defect rates, and the spec-limit histogram.</t>
  </si>
  <si>
    <t>Dashboard!A1</t>
  </si>
  <si>
    <t>Raw Data Collection'!A1</t>
  </si>
  <si>
    <t>X-bar R Control Chart'!A1</t>
  </si>
  <si>
    <t>Capability Calculations'!A1</t>
  </si>
  <si>
    <t>d2 Constants Reference'!A1</t>
  </si>
  <si>
    <t>1. On 'Raw Data Collection', fill in the yellow header cells: part, characteristic, USL, LSL, and subgroup size.</t>
  </si>
  <si>
    <t>2. Enter at least 20-25 subgroups of readings (up to 30 supported). Averages and ranges calculate automatically.</t>
  </si>
  <si>
    <t>3. Check 'X-bar R Control Chart' — confirm no points are outside the UCL/LCL control limits before trusting capability numbers.</t>
  </si>
  <si>
    <t>4. 'Capability Calculations' pulls those results automatically: sigma-within, sigma-overall, Cp, Cpk, Cpm, Pp, Ppk, and estimated PPM defect rates.</t>
  </si>
  <si>
    <t>5. 'Dashboard' gives a one-page view for reporting: current indices, capability rating, and both charts.</t>
  </si>
  <si>
    <t>Capability rating guide (based on Cpk / Ppk)</t>
  </si>
  <si>
    <t>Index value</t>
  </si>
  <si>
    <t>Rating</t>
  </si>
  <si>
    <t>≥ 1.67</t>
  </si>
  <si>
    <t>Excellent</t>
  </si>
  <si>
    <t>1.33 – 1.67</t>
  </si>
  <si>
    <t>Capable</t>
  </si>
  <si>
    <t>1.00 – 1.33</t>
  </si>
  <si>
    <t>Marginally capable</t>
  </si>
  <si>
    <t>&lt; 1.00</t>
  </si>
  <si>
    <t>Not capable</t>
  </si>
  <si>
    <t>D3</t>
  </si>
  <si>
    <t>D4</t>
  </si>
  <si>
    <t>d3</t>
  </si>
  <si>
    <t>Source: standard Shewhart control chart constants (AIAG SPC Reference Manual; Montgomery, Introduction to Statistical Quality Control).</t>
  </si>
  <si>
    <t>Legend: yellow cells are for you to fill in. Row 1 example values show the expected format. Readings outside the spec limits are auto-highlighted in red.</t>
  </si>
  <si>
    <t>A2</t>
  </si>
  <si>
    <t>A2 sets X-bar chart control limits (UCL = X-double-bar + A2 x R-bar, LCL = X-double-bar - A2 x R-bar). D3 and D4 set R-chart limits (LCL_R = D3 x R-bar, UCL_R = D4 x R-bar). d2 and d3 estimate sigma-within and the standard deviation of the range.</t>
  </si>
  <si>
    <t>X-bar &amp; R Control Chart</t>
  </si>
  <si>
    <t>Confirms the process is in statistical control before the Cp/Cpk/Pp/Ppk numbers on 'Capability Calculations' are trusted.</t>
  </si>
  <si>
    <t>Control limit inputs</t>
  </si>
  <si>
    <t>n (subgroup size):</t>
  </si>
  <si>
    <t>A2 constant (by n):</t>
  </si>
  <si>
    <t>D3 constant (by n):</t>
  </si>
  <si>
    <t>D4 constant (by n):</t>
  </si>
  <si>
    <t>X-bar chart control limits</t>
  </si>
  <si>
    <t>UCL (X-bar) = X-double-bar + A2 x R-bar:</t>
  </si>
  <si>
    <t>Center line (X-double-bar):</t>
  </si>
  <si>
    <t>LCL (X-bar) = X-double-bar - A2 x R-bar:</t>
  </si>
  <si>
    <t>R chart control limits</t>
  </si>
  <si>
    <t>UCL (R) = D4 x R-bar:</t>
  </si>
  <si>
    <t>Center line (R-bar):</t>
  </si>
  <si>
    <t>LCL (R) = D3 x R-bar:</t>
  </si>
  <si>
    <t>Subgroup-by-subgroup control chart data</t>
  </si>
  <si>
    <t>X-bar</t>
  </si>
  <si>
    <t>R</t>
  </si>
  <si>
    <t>UCL (X-bar)</t>
  </si>
  <si>
    <t>CL (X-bar)</t>
  </si>
  <si>
    <t>LCL (X-bar)</t>
  </si>
  <si>
    <t>UCL (R)</t>
  </si>
  <si>
    <t>CL (R)</t>
  </si>
  <si>
    <t>LCL (R)</t>
  </si>
  <si>
    <t>X-bar flag</t>
  </si>
  <si>
    <t>R flag</t>
  </si>
  <si>
    <t>Target (T) for Cpm — defaults to spec midpoint, edit if the true target differs:</t>
  </si>
  <si>
    <t>Cpm (=(USL-LSL)/(6xSQRT(sigma-within^2+(Xbb-T)^2))):</t>
  </si>
  <si>
    <t>Estimated defect rate, short-term (sigma-within, PPM):</t>
  </si>
  <si>
    <t>Estimated defect rate, long-term (sigma-overall, PPM):</t>
  </si>
  <si>
    <t>Interpretation (based on Cpk):</t>
  </si>
  <si>
    <t>Note: Cp/Cpk/Cpm use sigma-within (short-term). Pp/Ppk use sigma-overall (long-term). Cpk higher than Ppk usually signals a special-cause shift or drift within the study period.</t>
  </si>
  <si>
    <t>PPM = parts per million estimated outside spec, assuming a normal distribution. Confirm control-chart stability on 'X-bar R Control Chart' before trusting these estimates.</t>
  </si>
  <si>
    <t>Distribution vs. spec limits</t>
  </si>
  <si>
    <t>Data minimum:</t>
  </si>
  <si>
    <t>Data maximum:</t>
  </si>
  <si>
    <t>Number of bins:</t>
  </si>
  <si>
    <t>Bin width:</t>
  </si>
  <si>
    <t>Bin upper bound</t>
  </si>
  <si>
    <t>Cumulative count</t>
  </si>
  <si>
    <t>Frequency</t>
  </si>
  <si>
    <t>Outside spec?</t>
  </si>
  <si>
    <t>Process Capability Dashboard</t>
  </si>
  <si>
    <t>Key Indices</t>
  </si>
  <si>
    <t>Cp</t>
  </si>
  <si>
    <t>Cpk</t>
  </si>
  <si>
    <t>Cpm</t>
  </si>
  <si>
    <t>Pp</t>
  </si>
  <si>
    <t>Ppk</t>
  </si>
  <si>
    <t>Overall rating (Cpk):</t>
  </si>
  <si>
    <t>Study Details</t>
  </si>
  <si>
    <t>Target (T):</t>
  </si>
  <si>
    <t>Subgroups collected:</t>
  </si>
  <si>
    <t>X-bar/R points out of control:</t>
  </si>
  <si>
    <t>Estimated defect rate, short-term (PPM):</t>
  </si>
  <si>
    <t>Estimated defect rate, long-term (PPM):</t>
  </si>
  <si>
    <t>Workbook contents</t>
  </si>
  <si>
    <t>Lookup table of control-chart constants (d2, D3, D4, A2) by subgroup size.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</si>
</sst>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0.000"/>
  </numFmts>
  <fonts count="29" x14ac:knownFonts="1">
    <font>
      <sz val="11"/>
      <color theme="1"/>
      <name val="Calibri"/>
      <family val="2"/>
      <scheme val="minor"/>
    </font>
    <font>
      <b/>
      <sz val="16"/>
      <color rgb="FF153F8A"/>
      <name val="Arial"/>
    </font>
    <font>
      <b/>
      <sz val="12"/>
      <color rgb="FF153F8A"/>
      <name val="Arial"/>
    </font>
    <font>
      <sz val="10"/>
      <name val="Arial"/>
    </font>
    <font>
      <b/>
      <sz val="11"/>
      <color rgb="FFFFFFFF"/>
      <name val="Arial"/>
    </font>
    <font>
      <i/>
      <sz val="9"/>
      <color rgb="FF666666"/>
      <name val="Arial"/>
    </font>
    <font>
      <b/>
      <sz val="10"/>
      <name val="Arial"/>
    </font>
    <font>
      <u/>
      <sz val="11"/>
      <color theme="10"/>
      <name val="Calibri"/>
      <family val="2"/>
      <scheme val="minor"/>
    </font>
    <font>
      <b/>
      <sz val="18"/>
      <color rgb="FF153F8A"/>
      <name val="Arial"/>
    </font>
    <font>
      <i/>
      <sz val="11"/>
      <color rgb="FF555555"/>
      <name val="Arial"/>
    </font>
    <font>
      <b/>
      <sz val="13"/>
      <color rgb="FF153F8A"/>
      <name val="Arial"/>
    </font>
    <font>
      <sz val="10"/>
      <color theme="1"/>
      <name val="Arial"/>
    </font>
    <font>
      <b/>
      <sz val="10"/>
      <color rgb="FFFFFFFF"/>
      <name val="Arial"/>
    </font>
    <font>
      <sz val="10"/>
      <color rgb="FF006100"/>
      <name val="Arial"/>
    </font>
    <font>
      <sz val="10"/>
      <color rgb="FF9C6500"/>
      <name val="Arial"/>
    </font>
    <font>
      <sz val="10"/>
      <color rgb="FF9C0006"/>
      <name val="Arial"/>
    </font>
    <font>
      <i/>
      <sz val="10"/>
      <color rgb="FF666666"/>
      <name val="Arial"/>
    </font>
    <font>
      <i/>
      <sz val="10"/>
      <color rgb="FF555555"/>
      <name val="Arial"/>
    </font>
    <font>
      <b/>
      <sz val="10"/>
      <color theme="1"/>
      <name val="Arial"/>
    </font>
    <font>
      <sz val="11"/>
      <color rgb="FF008000"/>
      <name val="Calibri"/>
      <scheme val="minor"/>
    </font>
    <font>
      <sz val="11"/>
      <color theme="1"/>
      <name val="Calibri"/>
      <scheme val="minor"/>
    </font>
    <font>
      <b/>
      <sz val="11"/>
      <name val="Calibri"/>
    </font>
    <font>
      <b/>
      <i/>
      <sz val="9"/>
      <color rgb="FF666666"/>
      <name val="Arial"/>
    </font>
    <font>
      <b/>
      <sz val="20"/>
      <color rgb="FF153F8A"/>
      <name val="Arial"/>
    </font>
    <font>
      <b/>
      <sz val="22"/>
      <color theme="1"/>
      <name val="Calibri"/>
      <scheme val="minor"/>
    </font>
    <font>
      <b/>
      <sz val="12"/>
      <color theme="1"/>
      <name val="Arial"/>
    </font>
    <font>
      <b/>
      <sz val="14"/>
      <color theme="1"/>
      <name val="Arial"/>
    </font>
    <font>
      <sz val="10"/>
      <color rgb="FF000000"/>
      <name val="Arial"/>
    </font>
    <font>
      <b/>
      <u/>
      <sz val="10"/>
      <color theme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153F8A"/>
      </patternFill>
    </fill>
    <fill>
      <patternFill patternType="solid">
        <fgColor rgb="FFFFF7D6"/>
      </patternFill>
    </fill>
    <fill>
      <patternFill patternType="solid">
        <fgColor rgb="FF153F8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3" fillId="3" borderId="1" xfId="0" applyFont="1" applyFill="1" applyBorder="1"/>
    <xf numFmtId="0" fontId="4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/>
    <xf numFmtId="0" fontId="3" fillId="0" borderId="1" xfId="0" applyFont="1" applyBorder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/>
    <xf numFmtId="0" fontId="12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3" fillId="5" borderId="0" xfId="0" applyFont="1" applyFill="1"/>
    <xf numFmtId="0" fontId="14" fillId="6" borderId="0" xfId="0" applyFont="1" applyFill="1"/>
    <xf numFmtId="0" fontId="15" fillId="7" borderId="0" xfId="0" applyFont="1" applyFill="1"/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164" fontId="19" fillId="0" borderId="0" xfId="0" applyNumberFormat="1" applyFont="1"/>
    <xf numFmtId="166" fontId="19" fillId="0" borderId="0" xfId="0" applyNumberFormat="1" applyFont="1"/>
    <xf numFmtId="0" fontId="20" fillId="0" borderId="0" xfId="0" applyFont="1"/>
    <xf numFmtId="164" fontId="20" fillId="0" borderId="0" xfId="0" applyNumberFormat="1" applyFont="1"/>
    <xf numFmtId="164" fontId="11" fillId="0" borderId="1" xfId="0" applyNumberFormat="1" applyFont="1" applyBorder="1"/>
    <xf numFmtId="0" fontId="12" fillId="4" borderId="1" xfId="0" applyFont="1" applyFill="1" applyBorder="1" applyAlignment="1">
      <alignment horizontal="center"/>
    </xf>
    <xf numFmtId="164" fontId="21" fillId="0" borderId="0" xfId="0" applyNumberFormat="1" applyFont="1"/>
    <xf numFmtId="2" fontId="20" fillId="0" borderId="0" xfId="0" applyNumberFormat="1" applyFont="1"/>
    <xf numFmtId="3" fontId="20" fillId="0" borderId="0" xfId="0" applyNumberFormat="1" applyFont="1"/>
    <xf numFmtId="0" fontId="22" fillId="0" borderId="0" xfId="0" applyFont="1"/>
    <xf numFmtId="0" fontId="0" fillId="0" borderId="1" xfId="0" applyBorder="1"/>
    <xf numFmtId="164" fontId="11" fillId="0" borderId="1" xfId="0" applyNumberFormat="1" applyFont="1" applyBorder="1" applyAlignment="1">
      <alignment horizontal="center"/>
    </xf>
    <xf numFmtId="0" fontId="23" fillId="0" borderId="0" xfId="0" applyFont="1"/>
    <xf numFmtId="0" fontId="25" fillId="0" borderId="0" xfId="0" applyFont="1"/>
    <xf numFmtId="0" fontId="26" fillId="0" borderId="0" xfId="0" applyFont="1" applyAlignment="1">
      <alignment horizontal="center"/>
    </xf>
    <xf numFmtId="2" fontId="24" fillId="0" borderId="1" xfId="0" applyNumberFormat="1" applyFont="1" applyBorder="1" applyAlignment="1">
      <alignment horizontal="center"/>
    </xf>
    <xf numFmtId="0" fontId="27" fillId="0" borderId="0" xfId="0" applyFont="1"/>
    <xf numFmtId="0" fontId="28" fillId="0" borderId="0" xfId="1" applyFont="1"/>
    <xf numFmtId="0" fontId="28" fillId="0" borderId="0" xfId="1" quotePrefix="1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20"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X-bar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X-bar</c:v>
          </c:tx>
          <c:spPr>
            <a:ln w="28575" cap="rnd">
              <a:solidFill>
                <a:srgbClr val="153F8A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'X-bar R Control Chart'!$B$24:$B$53</c:f>
              <c:numCache>
                <c:formatCode>0.0000</c:formatCode>
                <c:ptCount val="30"/>
                <c:pt idx="0">
                  <c:v>25.000999999999998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FD-4CD7-93C6-99E0D4B3CB98}"/>
            </c:ext>
          </c:extLst>
        </c:ser>
        <c:ser>
          <c:idx val="2"/>
          <c:order val="1"/>
          <c:tx>
            <c:v>UCL</c:v>
          </c:tx>
          <c:spPr>
            <a:ln w="28575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'X-bar R Control Chart'!$A$24:$A$53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'X-bar R Control Chart'!$D$24:$D$53</c:f>
              <c:numCache>
                <c:formatCode>0.0000</c:formatCode>
                <c:ptCount val="30"/>
                <c:pt idx="0">
                  <c:v>25.003307999999997</c:v>
                </c:pt>
                <c:pt idx="1">
                  <c:v>25.003307999999997</c:v>
                </c:pt>
                <c:pt idx="2">
                  <c:v>25.003307999999997</c:v>
                </c:pt>
                <c:pt idx="3">
                  <c:v>25.003307999999997</c:v>
                </c:pt>
                <c:pt idx="4">
                  <c:v>25.003307999999997</c:v>
                </c:pt>
                <c:pt idx="5">
                  <c:v>25.003307999999997</c:v>
                </c:pt>
                <c:pt idx="6">
                  <c:v>25.003307999999997</c:v>
                </c:pt>
                <c:pt idx="7">
                  <c:v>25.003307999999997</c:v>
                </c:pt>
                <c:pt idx="8">
                  <c:v>25.003307999999997</c:v>
                </c:pt>
                <c:pt idx="9">
                  <c:v>25.003307999999997</c:v>
                </c:pt>
                <c:pt idx="10">
                  <c:v>25.003307999999997</c:v>
                </c:pt>
                <c:pt idx="11">
                  <c:v>25.003307999999997</c:v>
                </c:pt>
                <c:pt idx="12">
                  <c:v>25.003307999999997</c:v>
                </c:pt>
                <c:pt idx="13">
                  <c:v>25.003307999999997</c:v>
                </c:pt>
                <c:pt idx="14">
                  <c:v>25.003307999999997</c:v>
                </c:pt>
                <c:pt idx="15">
                  <c:v>25.003307999999997</c:v>
                </c:pt>
                <c:pt idx="16">
                  <c:v>25.003307999999997</c:v>
                </c:pt>
                <c:pt idx="17">
                  <c:v>25.003307999999997</c:v>
                </c:pt>
                <c:pt idx="18">
                  <c:v>25.003307999999997</c:v>
                </c:pt>
                <c:pt idx="19">
                  <c:v>25.003307999999997</c:v>
                </c:pt>
                <c:pt idx="20">
                  <c:v>25.003307999999997</c:v>
                </c:pt>
                <c:pt idx="21">
                  <c:v>25.003307999999997</c:v>
                </c:pt>
                <c:pt idx="22">
                  <c:v>25.003307999999997</c:v>
                </c:pt>
                <c:pt idx="23">
                  <c:v>25.003307999999997</c:v>
                </c:pt>
                <c:pt idx="24">
                  <c:v>25.003307999999997</c:v>
                </c:pt>
                <c:pt idx="25">
                  <c:v>25.003307999999997</c:v>
                </c:pt>
                <c:pt idx="26">
                  <c:v>25.003307999999997</c:v>
                </c:pt>
                <c:pt idx="27">
                  <c:v>25.003307999999997</c:v>
                </c:pt>
                <c:pt idx="28">
                  <c:v>25.003307999999997</c:v>
                </c:pt>
                <c:pt idx="29">
                  <c:v>25.003307999999997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FD-4CD7-93C6-99E0D4B3CB98}"/>
            </c:ext>
          </c:extLst>
        </c:ser>
        <c:ser>
          <c:idx val="3"/>
          <c:order val="2"/>
          <c:tx>
            <c:v>LCL</c:v>
          </c:tx>
          <c:spPr>
            <a:ln w="28575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'X-bar R Control Chart'!$A$24:$A$53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'X-bar R Control Chart'!$F$24:$F$53</c:f>
              <c:numCache>
                <c:formatCode>0.0000</c:formatCode>
                <c:ptCount val="30"/>
                <c:pt idx="0">
                  <c:v>24.998691999999998</c:v>
                </c:pt>
                <c:pt idx="1">
                  <c:v>24.998691999999998</c:v>
                </c:pt>
                <c:pt idx="2">
                  <c:v>24.998691999999998</c:v>
                </c:pt>
                <c:pt idx="3">
                  <c:v>24.998691999999998</c:v>
                </c:pt>
                <c:pt idx="4">
                  <c:v>24.998691999999998</c:v>
                </c:pt>
                <c:pt idx="5">
                  <c:v>24.998691999999998</c:v>
                </c:pt>
                <c:pt idx="6">
                  <c:v>24.998691999999998</c:v>
                </c:pt>
                <c:pt idx="7">
                  <c:v>24.998691999999998</c:v>
                </c:pt>
                <c:pt idx="8">
                  <c:v>24.998691999999998</c:v>
                </c:pt>
                <c:pt idx="9">
                  <c:v>24.998691999999998</c:v>
                </c:pt>
                <c:pt idx="10">
                  <c:v>24.998691999999998</c:v>
                </c:pt>
                <c:pt idx="11">
                  <c:v>24.998691999999998</c:v>
                </c:pt>
                <c:pt idx="12">
                  <c:v>24.998691999999998</c:v>
                </c:pt>
                <c:pt idx="13">
                  <c:v>24.998691999999998</c:v>
                </c:pt>
                <c:pt idx="14">
                  <c:v>24.998691999999998</c:v>
                </c:pt>
                <c:pt idx="15">
                  <c:v>24.998691999999998</c:v>
                </c:pt>
                <c:pt idx="16">
                  <c:v>24.998691999999998</c:v>
                </c:pt>
                <c:pt idx="17">
                  <c:v>24.998691999999998</c:v>
                </c:pt>
                <c:pt idx="18">
                  <c:v>24.998691999999998</c:v>
                </c:pt>
                <c:pt idx="19">
                  <c:v>24.998691999999998</c:v>
                </c:pt>
                <c:pt idx="20">
                  <c:v>24.998691999999998</c:v>
                </c:pt>
                <c:pt idx="21">
                  <c:v>24.998691999999998</c:v>
                </c:pt>
                <c:pt idx="22">
                  <c:v>24.998691999999998</c:v>
                </c:pt>
                <c:pt idx="23">
                  <c:v>24.998691999999998</c:v>
                </c:pt>
                <c:pt idx="24">
                  <c:v>24.998691999999998</c:v>
                </c:pt>
                <c:pt idx="25">
                  <c:v>24.998691999999998</c:v>
                </c:pt>
                <c:pt idx="26">
                  <c:v>24.998691999999998</c:v>
                </c:pt>
                <c:pt idx="27">
                  <c:v>24.998691999999998</c:v>
                </c:pt>
                <c:pt idx="28">
                  <c:v>24.998691999999998</c:v>
                </c:pt>
                <c:pt idx="29">
                  <c:v>24.998691999999998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FD-4CD7-93C6-99E0D4B3C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9331312"/>
        <c:axId val="1024582832"/>
      </c:lineChart>
      <c:catAx>
        <c:axId val="10493313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4582832"/>
        <c:crosses val="autoZero"/>
        <c:auto val="1"/>
        <c:lblAlgn val="ctr"/>
        <c:lblOffset val="100"/>
        <c:noMultiLvlLbl val="0"/>
      </c:catAx>
      <c:valAx>
        <c:axId val="1024582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9331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R</c:v>
          </c:tx>
          <c:spPr>
            <a:ln w="28575" cap="rnd">
              <a:solidFill>
                <a:srgbClr val="153F8A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'X-bar R Control Chart'!$C$24:$C$53</c:f>
              <c:numCache>
                <c:formatCode>0.0000</c:formatCode>
                <c:ptCount val="30"/>
                <c:pt idx="0">
                  <c:v>4.0000000000013358E-3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7A-4C6A-BDD1-C8024BBF968C}"/>
            </c:ext>
          </c:extLst>
        </c:ser>
        <c:ser>
          <c:idx val="3"/>
          <c:order val="1"/>
          <c:tx>
            <c:v>UCL</c:v>
          </c:tx>
          <c:spPr>
            <a:ln w="28575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'X-bar R Control Chart'!$A$24:$A$53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'X-bar R Control Chart'!$G$24:$G$53</c:f>
              <c:numCache>
                <c:formatCode>0.0000</c:formatCode>
                <c:ptCount val="30"/>
                <c:pt idx="0">
                  <c:v>8.4560000000028241E-3</c:v>
                </c:pt>
                <c:pt idx="1">
                  <c:v>8.4560000000028241E-3</c:v>
                </c:pt>
                <c:pt idx="2">
                  <c:v>8.4560000000028241E-3</c:v>
                </c:pt>
                <c:pt idx="3">
                  <c:v>8.4560000000028241E-3</c:v>
                </c:pt>
                <c:pt idx="4">
                  <c:v>8.4560000000028241E-3</c:v>
                </c:pt>
                <c:pt idx="5">
                  <c:v>8.4560000000028241E-3</c:v>
                </c:pt>
                <c:pt idx="6">
                  <c:v>8.4560000000028241E-3</c:v>
                </c:pt>
                <c:pt idx="7">
                  <c:v>8.4560000000028241E-3</c:v>
                </c:pt>
                <c:pt idx="8">
                  <c:v>8.4560000000028241E-3</c:v>
                </c:pt>
                <c:pt idx="9">
                  <c:v>8.4560000000028241E-3</c:v>
                </c:pt>
                <c:pt idx="10">
                  <c:v>8.4560000000028241E-3</c:v>
                </c:pt>
                <c:pt idx="11">
                  <c:v>8.4560000000028241E-3</c:v>
                </c:pt>
                <c:pt idx="12">
                  <c:v>8.4560000000028241E-3</c:v>
                </c:pt>
                <c:pt idx="13">
                  <c:v>8.4560000000028241E-3</c:v>
                </c:pt>
                <c:pt idx="14">
                  <c:v>8.4560000000028241E-3</c:v>
                </c:pt>
                <c:pt idx="15">
                  <c:v>8.4560000000028241E-3</c:v>
                </c:pt>
                <c:pt idx="16">
                  <c:v>8.4560000000028241E-3</c:v>
                </c:pt>
                <c:pt idx="17">
                  <c:v>8.4560000000028241E-3</c:v>
                </c:pt>
                <c:pt idx="18">
                  <c:v>8.4560000000028241E-3</c:v>
                </c:pt>
                <c:pt idx="19">
                  <c:v>8.4560000000028241E-3</c:v>
                </c:pt>
                <c:pt idx="20">
                  <c:v>8.4560000000028241E-3</c:v>
                </c:pt>
                <c:pt idx="21">
                  <c:v>8.4560000000028241E-3</c:v>
                </c:pt>
                <c:pt idx="22">
                  <c:v>8.4560000000028241E-3</c:v>
                </c:pt>
                <c:pt idx="23">
                  <c:v>8.4560000000028241E-3</c:v>
                </c:pt>
                <c:pt idx="24">
                  <c:v>8.4560000000028241E-3</c:v>
                </c:pt>
                <c:pt idx="25">
                  <c:v>8.4560000000028241E-3</c:v>
                </c:pt>
                <c:pt idx="26">
                  <c:v>8.4560000000028241E-3</c:v>
                </c:pt>
                <c:pt idx="27">
                  <c:v>8.4560000000028241E-3</c:v>
                </c:pt>
                <c:pt idx="28">
                  <c:v>8.4560000000028241E-3</c:v>
                </c:pt>
                <c:pt idx="29">
                  <c:v>8.4560000000028241E-3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F7A-4C6A-BDD1-C8024BBF968C}"/>
            </c:ext>
          </c:extLst>
        </c:ser>
        <c:ser>
          <c:idx val="4"/>
          <c:order val="2"/>
          <c:tx>
            <c:v>LCL</c:v>
          </c:tx>
          <c:spPr>
            <a:ln w="28575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'X-bar R Control Chart'!$A$24:$A$53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'X-bar R Control Chart'!$I$24:$I$53</c:f>
              <c:numCache>
                <c:formatCode>0.0000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F7A-4C6A-BDD1-C8024BBF9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5670032"/>
        <c:axId val="1024590512"/>
      </c:lineChart>
      <c:catAx>
        <c:axId val="10456700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4590512"/>
        <c:crosses val="autoZero"/>
        <c:auto val="1"/>
        <c:lblAlgn val="ctr"/>
        <c:lblOffset val="100"/>
        <c:noMultiLvlLbl val="0"/>
      </c:catAx>
      <c:valAx>
        <c:axId val="1024590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5670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Reading Distribution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'Capability Calculations'!$C$39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rgbClr val="153F8A"/>
            </a:solidFill>
            <a:ln>
              <a:noFill/>
            </a:ln>
            <a:effectLst/>
          </c:spPr>
          <c:invertIfNegative val="0"/>
          <c:cat>
            <c:numRef>
              <c:f>'Capability Calculations'!$A$40:$A$49</c:f>
              <c:numCache>
                <c:formatCode>0.0000</c:formatCode>
                <c:ptCount val="10"/>
                <c:pt idx="0">
                  <c:v>24.998999999999999</c:v>
                </c:pt>
                <c:pt idx="1">
                  <c:v>24.999399999999998</c:v>
                </c:pt>
                <c:pt idx="2">
                  <c:v>24.999799999999997</c:v>
                </c:pt>
                <c:pt idx="3">
                  <c:v>25.000199999999996</c:v>
                </c:pt>
                <c:pt idx="4">
                  <c:v>25.000599999999995</c:v>
                </c:pt>
                <c:pt idx="5">
                  <c:v>25.000999999999994</c:v>
                </c:pt>
                <c:pt idx="6">
                  <c:v>25.001399999999993</c:v>
                </c:pt>
                <c:pt idx="7">
                  <c:v>25.001799999999992</c:v>
                </c:pt>
                <c:pt idx="8">
                  <c:v>25.002199999999991</c:v>
                </c:pt>
                <c:pt idx="9">
                  <c:v>25.00259999999999</c:v>
                </c:pt>
              </c:numCache>
            </c:numRef>
          </c:cat>
          <c:val>
            <c:numRef>
              <c:f>'Capability Calculations'!$C$40:$C$49</c:f>
              <c:numCache>
                <c:formatCode>General</c:formatCode>
                <c:ptCount val="10"/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B0-4D6D-A9F3-196CEAA37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5329360"/>
        <c:axId val="1024508432"/>
      </c:barChart>
      <c:catAx>
        <c:axId val="1045329360"/>
        <c:scaling>
          <c:orientation val="minMax"/>
        </c:scaling>
        <c:delete val="0"/>
        <c:axPos val="b"/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4508432"/>
        <c:crosses val="autoZero"/>
        <c:auto val="1"/>
        <c:lblAlgn val="ctr"/>
        <c:lblOffset val="100"/>
        <c:noMultiLvlLbl val="0"/>
      </c:catAx>
      <c:valAx>
        <c:axId val="102450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5329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</c:v>
          </c:tx>
          <c:spPr>
            <a:ln w="25400" cap="rnd">
              <a:solidFill>
                <a:srgbClr val="153F8A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'X-bar R Control Chart'!$A$53:$B$53</c:f>
              <c:numCache>
                <c:formatCode>0.0000</c:formatCode>
                <c:ptCount val="2"/>
                <c:pt idx="0" formatCode="General">
                  <c:v>30</c:v>
                </c:pt>
                <c:pt idx="1">
                  <c:v>#N/A</c:v>
                </c:pt>
              </c:numCache>
            </c:numRef>
          </c:cat>
          <c:val>
            <c:numRef>
              <c:f>'X-bar R Control Chart'!$C$53</c:f>
              <c:numCache>
                <c:formatCode>0.0000</c:formatCode>
                <c:ptCount val="1"/>
                <c:pt idx="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0B-451E-B1BB-F08DFA9B8E53}"/>
            </c:ext>
          </c:extLst>
        </c:ser>
        <c:ser>
          <c:idx val="1"/>
          <c:order val="1"/>
          <c:tx>
            <c:v>UCL (R)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'X-bar R Control Chart'!$A$24:$A$53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'X-bar R Control Chart'!$G$24:$G$53</c:f>
              <c:numCache>
                <c:formatCode>0.0000</c:formatCode>
                <c:ptCount val="30"/>
                <c:pt idx="0">
                  <c:v>8.4560000000028241E-3</c:v>
                </c:pt>
                <c:pt idx="1">
                  <c:v>8.4560000000028241E-3</c:v>
                </c:pt>
                <c:pt idx="2">
                  <c:v>8.4560000000028241E-3</c:v>
                </c:pt>
                <c:pt idx="3">
                  <c:v>8.4560000000028241E-3</c:v>
                </c:pt>
                <c:pt idx="4">
                  <c:v>8.4560000000028241E-3</c:v>
                </c:pt>
                <c:pt idx="5">
                  <c:v>8.4560000000028241E-3</c:v>
                </c:pt>
                <c:pt idx="6">
                  <c:v>8.4560000000028241E-3</c:v>
                </c:pt>
                <c:pt idx="7">
                  <c:v>8.4560000000028241E-3</c:v>
                </c:pt>
                <c:pt idx="8">
                  <c:v>8.4560000000028241E-3</c:v>
                </c:pt>
                <c:pt idx="9">
                  <c:v>8.4560000000028241E-3</c:v>
                </c:pt>
                <c:pt idx="10">
                  <c:v>8.4560000000028241E-3</c:v>
                </c:pt>
                <c:pt idx="11">
                  <c:v>8.4560000000028241E-3</c:v>
                </c:pt>
                <c:pt idx="12">
                  <c:v>8.4560000000028241E-3</c:v>
                </c:pt>
                <c:pt idx="13">
                  <c:v>8.4560000000028241E-3</c:v>
                </c:pt>
                <c:pt idx="14">
                  <c:v>8.4560000000028241E-3</c:v>
                </c:pt>
                <c:pt idx="15">
                  <c:v>8.4560000000028241E-3</c:v>
                </c:pt>
                <c:pt idx="16">
                  <c:v>8.4560000000028241E-3</c:v>
                </c:pt>
                <c:pt idx="17">
                  <c:v>8.4560000000028241E-3</c:v>
                </c:pt>
                <c:pt idx="18">
                  <c:v>8.4560000000028241E-3</c:v>
                </c:pt>
                <c:pt idx="19">
                  <c:v>8.4560000000028241E-3</c:v>
                </c:pt>
                <c:pt idx="20">
                  <c:v>8.4560000000028241E-3</c:v>
                </c:pt>
                <c:pt idx="21">
                  <c:v>8.4560000000028241E-3</c:v>
                </c:pt>
                <c:pt idx="22">
                  <c:v>8.4560000000028241E-3</c:v>
                </c:pt>
                <c:pt idx="23">
                  <c:v>8.4560000000028241E-3</c:v>
                </c:pt>
                <c:pt idx="24">
                  <c:v>8.4560000000028241E-3</c:v>
                </c:pt>
                <c:pt idx="25">
                  <c:v>8.4560000000028241E-3</c:v>
                </c:pt>
                <c:pt idx="26">
                  <c:v>8.4560000000028241E-3</c:v>
                </c:pt>
                <c:pt idx="27">
                  <c:v>8.4560000000028241E-3</c:v>
                </c:pt>
                <c:pt idx="28">
                  <c:v>8.4560000000028241E-3</c:v>
                </c:pt>
                <c:pt idx="29">
                  <c:v>8.4560000000028241E-3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0B-451E-B1BB-F08DFA9B8E53}"/>
            </c:ext>
          </c:extLst>
        </c:ser>
        <c:ser>
          <c:idx val="2"/>
          <c:order val="2"/>
          <c:tx>
            <c:v>CL (R)</c:v>
          </c:tx>
          <c:spPr>
            <a:ln w="12700" cap="rnd">
              <a:solidFill>
                <a:srgbClr val="80808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'X-bar R Control Chart'!$A$24:$A$53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'X-bar R Control Chart'!$H$24:$H$53</c:f>
              <c:numCache>
                <c:formatCode>0.0000</c:formatCode>
                <c:ptCount val="30"/>
                <c:pt idx="0">
                  <c:v>4.0000000000013358E-3</c:v>
                </c:pt>
                <c:pt idx="1">
                  <c:v>4.0000000000013358E-3</c:v>
                </c:pt>
                <c:pt idx="2">
                  <c:v>4.0000000000013358E-3</c:v>
                </c:pt>
                <c:pt idx="3">
                  <c:v>4.0000000000013358E-3</c:v>
                </c:pt>
                <c:pt idx="4">
                  <c:v>4.0000000000013358E-3</c:v>
                </c:pt>
                <c:pt idx="5">
                  <c:v>4.0000000000013358E-3</c:v>
                </c:pt>
                <c:pt idx="6">
                  <c:v>4.0000000000013358E-3</c:v>
                </c:pt>
                <c:pt idx="7">
                  <c:v>4.0000000000013358E-3</c:v>
                </c:pt>
                <c:pt idx="8">
                  <c:v>4.0000000000013358E-3</c:v>
                </c:pt>
                <c:pt idx="9">
                  <c:v>4.0000000000013358E-3</c:v>
                </c:pt>
                <c:pt idx="10">
                  <c:v>4.0000000000013358E-3</c:v>
                </c:pt>
                <c:pt idx="11">
                  <c:v>4.0000000000013358E-3</c:v>
                </c:pt>
                <c:pt idx="12">
                  <c:v>4.0000000000013358E-3</c:v>
                </c:pt>
                <c:pt idx="13">
                  <c:v>4.0000000000013358E-3</c:v>
                </c:pt>
                <c:pt idx="14">
                  <c:v>4.0000000000013358E-3</c:v>
                </c:pt>
                <c:pt idx="15">
                  <c:v>4.0000000000013358E-3</c:v>
                </c:pt>
                <c:pt idx="16">
                  <c:v>4.0000000000013358E-3</c:v>
                </c:pt>
                <c:pt idx="17">
                  <c:v>4.0000000000013358E-3</c:v>
                </c:pt>
                <c:pt idx="18">
                  <c:v>4.0000000000013358E-3</c:v>
                </c:pt>
                <c:pt idx="19">
                  <c:v>4.0000000000013358E-3</c:v>
                </c:pt>
                <c:pt idx="20">
                  <c:v>4.0000000000013358E-3</c:v>
                </c:pt>
                <c:pt idx="21">
                  <c:v>4.0000000000013358E-3</c:v>
                </c:pt>
                <c:pt idx="22">
                  <c:v>4.0000000000013358E-3</c:v>
                </c:pt>
                <c:pt idx="23">
                  <c:v>4.0000000000013358E-3</c:v>
                </c:pt>
                <c:pt idx="24">
                  <c:v>4.0000000000013358E-3</c:v>
                </c:pt>
                <c:pt idx="25">
                  <c:v>4.0000000000013358E-3</c:v>
                </c:pt>
                <c:pt idx="26">
                  <c:v>4.0000000000013358E-3</c:v>
                </c:pt>
                <c:pt idx="27">
                  <c:v>4.0000000000013358E-3</c:v>
                </c:pt>
                <c:pt idx="28">
                  <c:v>4.0000000000013358E-3</c:v>
                </c:pt>
                <c:pt idx="29">
                  <c:v>4.0000000000013358E-3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0B-451E-B1BB-F08DFA9B8E53}"/>
            </c:ext>
          </c:extLst>
        </c:ser>
        <c:ser>
          <c:idx val="3"/>
          <c:order val="3"/>
          <c:tx>
            <c:v>LCL (R)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'X-bar R Control Chart'!$A$24:$A$53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'X-bar R Control Chart'!$I$24:$I$53</c:f>
              <c:numCache>
                <c:formatCode>0.0000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0B-451E-B1BB-F08DFA9B8E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8622464"/>
        <c:axId val="1024580912"/>
      </c:lineChart>
      <c:catAx>
        <c:axId val="1008622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Subgroup #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4580912"/>
        <c:crosses val="autoZero"/>
        <c:auto val="1"/>
        <c:lblAlgn val="ctr"/>
        <c:lblOffset val="100"/>
        <c:noMultiLvlLbl val="0"/>
      </c:catAx>
      <c:valAx>
        <c:axId val="1024580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862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X-bar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X-bar</c:v>
          </c:tx>
          <c:spPr>
            <a:ln w="25400" cap="rnd">
              <a:solidFill>
                <a:srgbClr val="153F8A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'X-bar R Control Chart'!$A$53</c:f>
              <c:numCache>
                <c:formatCode>General</c:formatCode>
                <c:ptCount val="1"/>
                <c:pt idx="0">
                  <c:v>30</c:v>
                </c:pt>
              </c:numCache>
            </c:numRef>
          </c:cat>
          <c:val>
            <c:numRef>
              <c:f>'X-bar R Control Chart'!$B$53</c:f>
              <c:numCache>
                <c:formatCode>0.0000</c:formatCode>
                <c:ptCount val="1"/>
                <c:pt idx="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71-4C22-B996-11528AD7FA1F}"/>
            </c:ext>
          </c:extLst>
        </c:ser>
        <c:ser>
          <c:idx val="1"/>
          <c:order val="1"/>
          <c:tx>
            <c:v>UCL (X-bar)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'X-bar R Control Chart'!$A$24:$A$53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'X-bar R Control Chart'!$D$24:$D$53</c:f>
              <c:numCache>
                <c:formatCode>0.0000</c:formatCode>
                <c:ptCount val="30"/>
                <c:pt idx="0">
                  <c:v>25.003307999999997</c:v>
                </c:pt>
                <c:pt idx="1">
                  <c:v>25.003307999999997</c:v>
                </c:pt>
                <c:pt idx="2">
                  <c:v>25.003307999999997</c:v>
                </c:pt>
                <c:pt idx="3">
                  <c:v>25.003307999999997</c:v>
                </c:pt>
                <c:pt idx="4">
                  <c:v>25.003307999999997</c:v>
                </c:pt>
                <c:pt idx="5">
                  <c:v>25.003307999999997</c:v>
                </c:pt>
                <c:pt idx="6">
                  <c:v>25.003307999999997</c:v>
                </c:pt>
                <c:pt idx="7">
                  <c:v>25.003307999999997</c:v>
                </c:pt>
                <c:pt idx="8">
                  <c:v>25.003307999999997</c:v>
                </c:pt>
                <c:pt idx="9">
                  <c:v>25.003307999999997</c:v>
                </c:pt>
                <c:pt idx="10">
                  <c:v>25.003307999999997</c:v>
                </c:pt>
                <c:pt idx="11">
                  <c:v>25.003307999999997</c:v>
                </c:pt>
                <c:pt idx="12">
                  <c:v>25.003307999999997</c:v>
                </c:pt>
                <c:pt idx="13">
                  <c:v>25.003307999999997</c:v>
                </c:pt>
                <c:pt idx="14">
                  <c:v>25.003307999999997</c:v>
                </c:pt>
                <c:pt idx="15">
                  <c:v>25.003307999999997</c:v>
                </c:pt>
                <c:pt idx="16">
                  <c:v>25.003307999999997</c:v>
                </c:pt>
                <c:pt idx="17">
                  <c:v>25.003307999999997</c:v>
                </c:pt>
                <c:pt idx="18">
                  <c:v>25.003307999999997</c:v>
                </c:pt>
                <c:pt idx="19">
                  <c:v>25.003307999999997</c:v>
                </c:pt>
                <c:pt idx="20">
                  <c:v>25.003307999999997</c:v>
                </c:pt>
                <c:pt idx="21">
                  <c:v>25.003307999999997</c:v>
                </c:pt>
                <c:pt idx="22">
                  <c:v>25.003307999999997</c:v>
                </c:pt>
                <c:pt idx="23">
                  <c:v>25.003307999999997</c:v>
                </c:pt>
                <c:pt idx="24">
                  <c:v>25.003307999999997</c:v>
                </c:pt>
                <c:pt idx="25">
                  <c:v>25.003307999999997</c:v>
                </c:pt>
                <c:pt idx="26">
                  <c:v>25.003307999999997</c:v>
                </c:pt>
                <c:pt idx="27">
                  <c:v>25.003307999999997</c:v>
                </c:pt>
                <c:pt idx="28">
                  <c:v>25.003307999999997</c:v>
                </c:pt>
                <c:pt idx="29">
                  <c:v>25.003307999999997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71-4C22-B996-11528AD7FA1F}"/>
            </c:ext>
          </c:extLst>
        </c:ser>
        <c:ser>
          <c:idx val="2"/>
          <c:order val="2"/>
          <c:tx>
            <c:v>CL (X-double-bar)</c:v>
          </c:tx>
          <c:spPr>
            <a:ln w="12700" cap="rnd">
              <a:solidFill>
                <a:srgbClr val="80808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'X-bar R Control Chart'!$A$24:$A$53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'X-bar R Control Chart'!$E$24:$E$53</c:f>
              <c:numCache>
                <c:formatCode>0.0000</c:formatCode>
                <c:ptCount val="30"/>
                <c:pt idx="0">
                  <c:v>25.000999999999998</c:v>
                </c:pt>
                <c:pt idx="1">
                  <c:v>25.000999999999998</c:v>
                </c:pt>
                <c:pt idx="2">
                  <c:v>25.000999999999998</c:v>
                </c:pt>
                <c:pt idx="3">
                  <c:v>25.000999999999998</c:v>
                </c:pt>
                <c:pt idx="4">
                  <c:v>25.000999999999998</c:v>
                </c:pt>
                <c:pt idx="5">
                  <c:v>25.000999999999998</c:v>
                </c:pt>
                <c:pt idx="6">
                  <c:v>25.000999999999998</c:v>
                </c:pt>
                <c:pt idx="7">
                  <c:v>25.000999999999998</c:v>
                </c:pt>
                <c:pt idx="8">
                  <c:v>25.000999999999998</c:v>
                </c:pt>
                <c:pt idx="9">
                  <c:v>25.000999999999998</c:v>
                </c:pt>
                <c:pt idx="10">
                  <c:v>25.000999999999998</c:v>
                </c:pt>
                <c:pt idx="11">
                  <c:v>25.000999999999998</c:v>
                </c:pt>
                <c:pt idx="12">
                  <c:v>25.000999999999998</c:v>
                </c:pt>
                <c:pt idx="13">
                  <c:v>25.000999999999998</c:v>
                </c:pt>
                <c:pt idx="14">
                  <c:v>25.000999999999998</c:v>
                </c:pt>
                <c:pt idx="15">
                  <c:v>25.000999999999998</c:v>
                </c:pt>
                <c:pt idx="16">
                  <c:v>25.000999999999998</c:v>
                </c:pt>
                <c:pt idx="17">
                  <c:v>25.000999999999998</c:v>
                </c:pt>
                <c:pt idx="18">
                  <c:v>25.000999999999998</c:v>
                </c:pt>
                <c:pt idx="19">
                  <c:v>25.000999999999998</c:v>
                </c:pt>
                <c:pt idx="20">
                  <c:v>25.000999999999998</c:v>
                </c:pt>
                <c:pt idx="21">
                  <c:v>25.000999999999998</c:v>
                </c:pt>
                <c:pt idx="22">
                  <c:v>25.000999999999998</c:v>
                </c:pt>
                <c:pt idx="23">
                  <c:v>25.000999999999998</c:v>
                </c:pt>
                <c:pt idx="24">
                  <c:v>25.000999999999998</c:v>
                </c:pt>
                <c:pt idx="25">
                  <c:v>25.000999999999998</c:v>
                </c:pt>
                <c:pt idx="26">
                  <c:v>25.000999999999998</c:v>
                </c:pt>
                <c:pt idx="27">
                  <c:v>25.000999999999998</c:v>
                </c:pt>
                <c:pt idx="28">
                  <c:v>25.000999999999998</c:v>
                </c:pt>
                <c:pt idx="29">
                  <c:v>25.000999999999998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71-4C22-B996-11528AD7FA1F}"/>
            </c:ext>
          </c:extLst>
        </c:ser>
        <c:ser>
          <c:idx val="3"/>
          <c:order val="3"/>
          <c:tx>
            <c:v>LCL (X-bar)</c:v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'X-bar R Control Chart'!$A$24:$A$53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'X-bar R Control Chart'!$F$24:$F$53</c:f>
              <c:numCache>
                <c:formatCode>0.0000</c:formatCode>
                <c:ptCount val="30"/>
                <c:pt idx="0">
                  <c:v>24.998691999999998</c:v>
                </c:pt>
                <c:pt idx="1">
                  <c:v>24.998691999999998</c:v>
                </c:pt>
                <c:pt idx="2">
                  <c:v>24.998691999999998</c:v>
                </c:pt>
                <c:pt idx="3">
                  <c:v>24.998691999999998</c:v>
                </c:pt>
                <c:pt idx="4">
                  <c:v>24.998691999999998</c:v>
                </c:pt>
                <c:pt idx="5">
                  <c:v>24.998691999999998</c:v>
                </c:pt>
                <c:pt idx="6">
                  <c:v>24.998691999999998</c:v>
                </c:pt>
                <c:pt idx="7">
                  <c:v>24.998691999999998</c:v>
                </c:pt>
                <c:pt idx="8">
                  <c:v>24.998691999999998</c:v>
                </c:pt>
                <c:pt idx="9">
                  <c:v>24.998691999999998</c:v>
                </c:pt>
                <c:pt idx="10">
                  <c:v>24.998691999999998</c:v>
                </c:pt>
                <c:pt idx="11">
                  <c:v>24.998691999999998</c:v>
                </c:pt>
                <c:pt idx="12">
                  <c:v>24.998691999999998</c:v>
                </c:pt>
                <c:pt idx="13">
                  <c:v>24.998691999999998</c:v>
                </c:pt>
                <c:pt idx="14">
                  <c:v>24.998691999999998</c:v>
                </c:pt>
                <c:pt idx="15">
                  <c:v>24.998691999999998</c:v>
                </c:pt>
                <c:pt idx="16">
                  <c:v>24.998691999999998</c:v>
                </c:pt>
                <c:pt idx="17">
                  <c:v>24.998691999999998</c:v>
                </c:pt>
                <c:pt idx="18">
                  <c:v>24.998691999999998</c:v>
                </c:pt>
                <c:pt idx="19">
                  <c:v>24.998691999999998</c:v>
                </c:pt>
                <c:pt idx="20">
                  <c:v>24.998691999999998</c:v>
                </c:pt>
                <c:pt idx="21">
                  <c:v>24.998691999999998</c:v>
                </c:pt>
                <c:pt idx="22">
                  <c:v>24.998691999999998</c:v>
                </c:pt>
                <c:pt idx="23">
                  <c:v>24.998691999999998</c:v>
                </c:pt>
                <c:pt idx="24">
                  <c:v>24.998691999999998</c:v>
                </c:pt>
                <c:pt idx="25">
                  <c:v>24.998691999999998</c:v>
                </c:pt>
                <c:pt idx="26">
                  <c:v>24.998691999999998</c:v>
                </c:pt>
                <c:pt idx="27">
                  <c:v>24.998691999999998</c:v>
                </c:pt>
                <c:pt idx="28">
                  <c:v>24.998691999999998</c:v>
                </c:pt>
                <c:pt idx="29">
                  <c:v>24.998691999999998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71-4C22-B996-11528AD7F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209199"/>
        <c:axId val="1024581392"/>
      </c:lineChart>
      <c:catAx>
        <c:axId val="1152091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Subgroup #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4581392"/>
        <c:crosses val="autoZero"/>
        <c:auto val="1"/>
        <c:lblAlgn val="ctr"/>
        <c:lblOffset val="100"/>
        <c:noMultiLvlLbl val="0"/>
      </c:catAx>
      <c:valAx>
        <c:axId val="1024581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X-bar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209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Reading Distribution vs. Spec Limits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'Capability Calculations'!$C$39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rgbClr val="153F8A"/>
            </a:solidFill>
            <a:ln>
              <a:noFill/>
            </a:ln>
            <a:effectLst/>
          </c:spPr>
          <c:invertIfNegative val="0"/>
          <c:cat>
            <c:numRef>
              <c:f>'Capability Calculations'!$A$40:$A$49</c:f>
              <c:numCache>
                <c:formatCode>0.0000</c:formatCode>
                <c:ptCount val="10"/>
                <c:pt idx="0">
                  <c:v>24.998999999999999</c:v>
                </c:pt>
                <c:pt idx="1">
                  <c:v>24.999399999999998</c:v>
                </c:pt>
                <c:pt idx="2">
                  <c:v>24.999799999999997</c:v>
                </c:pt>
                <c:pt idx="3">
                  <c:v>25.000199999999996</c:v>
                </c:pt>
                <c:pt idx="4">
                  <c:v>25.000599999999995</c:v>
                </c:pt>
                <c:pt idx="5">
                  <c:v>25.000999999999994</c:v>
                </c:pt>
                <c:pt idx="6">
                  <c:v>25.001399999999993</c:v>
                </c:pt>
                <c:pt idx="7">
                  <c:v>25.001799999999992</c:v>
                </c:pt>
                <c:pt idx="8">
                  <c:v>25.002199999999991</c:v>
                </c:pt>
                <c:pt idx="9">
                  <c:v>25.00259999999999</c:v>
                </c:pt>
              </c:numCache>
            </c:numRef>
          </c:cat>
          <c:val>
            <c:numRef>
              <c:f>'Capability Calculations'!$C$40:$C$49</c:f>
              <c:numCache>
                <c:formatCode>General</c:formatCode>
                <c:ptCount val="10"/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01-43AB-86BF-C753F4FB6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9335488"/>
        <c:axId val="1024521872"/>
      </c:barChart>
      <c:catAx>
        <c:axId val="1049335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Bin upper bound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4521872"/>
        <c:crosses val="autoZero"/>
        <c:auto val="1"/>
        <c:lblAlgn val="ctr"/>
        <c:lblOffset val="100"/>
        <c:noMultiLvlLbl val="0"/>
      </c:catAx>
      <c:valAx>
        <c:axId val="1024521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Count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9335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4</xdr:col>
      <xdr:colOff>0</xdr:colOff>
      <xdr:row>40</xdr:row>
      <xdr:rowOff>0</xdr:rowOff>
    </xdr:to>
    <xdr:graphicFrame macro="">
      <xdr:nvGraphicFramePr>
        <xdr:cNvPr id="2" name="DashXbarChart">
          <a:extLst>
            <a:ext uri="{FF2B5EF4-FFF2-40B4-BE49-F238E27FC236}">
              <a16:creationId xmlns:a16="http://schemas.microsoft.com/office/drawing/2014/main" id="{A0DE2B2D-BC40-6119-D914-F4361A9113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22</xdr:row>
      <xdr:rowOff>0</xdr:rowOff>
    </xdr:from>
    <xdr:to>
      <xdr:col>8</xdr:col>
      <xdr:colOff>0</xdr:colOff>
      <xdr:row>40</xdr:row>
      <xdr:rowOff>0</xdr:rowOff>
    </xdr:to>
    <xdr:graphicFrame macro="">
      <xdr:nvGraphicFramePr>
        <xdr:cNvPr id="3" name="DashRChart">
          <a:extLst>
            <a:ext uri="{FF2B5EF4-FFF2-40B4-BE49-F238E27FC236}">
              <a16:creationId xmlns:a16="http://schemas.microsoft.com/office/drawing/2014/main" id="{AB30BBBA-FDAB-E51F-C806-B14BD6E653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22</xdr:row>
      <xdr:rowOff>0</xdr:rowOff>
    </xdr:from>
    <xdr:to>
      <xdr:col>12</xdr:col>
      <xdr:colOff>0</xdr:colOff>
      <xdr:row>40</xdr:row>
      <xdr:rowOff>0</xdr:rowOff>
    </xdr:to>
    <xdr:graphicFrame macro="">
      <xdr:nvGraphicFramePr>
        <xdr:cNvPr id="4" name="DashHistChart">
          <a:extLst>
            <a:ext uri="{FF2B5EF4-FFF2-40B4-BE49-F238E27FC236}">
              <a16:creationId xmlns:a16="http://schemas.microsoft.com/office/drawing/2014/main" id="{96CEE09F-BB2E-8718-3152-CA88229E67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74</xdr:row>
      <xdr:rowOff>0</xdr:rowOff>
    </xdr:from>
    <xdr:to>
      <xdr:col>6</xdr:col>
      <xdr:colOff>0</xdr:colOff>
      <xdr:row>91</xdr:row>
      <xdr:rowOff>0</xdr:rowOff>
    </xdr:to>
    <xdr:graphicFrame macro="">
      <xdr:nvGraphicFramePr>
        <xdr:cNvPr id="3" name="RChart">
          <a:extLst>
            <a:ext uri="{FF2B5EF4-FFF2-40B4-BE49-F238E27FC236}">
              <a16:creationId xmlns:a16="http://schemas.microsoft.com/office/drawing/2014/main" id="{56225F73-7DB2-F16A-8BA1-7C8C492F32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0</xdr:rowOff>
    </xdr:from>
    <xdr:to>
      <xdr:col>6</xdr:col>
      <xdr:colOff>0</xdr:colOff>
      <xdr:row>72</xdr:row>
      <xdr:rowOff>0</xdr:rowOff>
    </xdr:to>
    <xdr:graphicFrame macro="">
      <xdr:nvGraphicFramePr>
        <xdr:cNvPr id="4" name="XbarChart">
          <a:extLst>
            <a:ext uri="{FF2B5EF4-FFF2-40B4-BE49-F238E27FC236}">
              <a16:creationId xmlns:a16="http://schemas.microsoft.com/office/drawing/2014/main" id="{68957DEC-77E0-C67A-01E8-5ABCBEECD4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32</xdr:row>
      <xdr:rowOff>0</xdr:rowOff>
    </xdr:from>
    <xdr:to>
      <xdr:col>12</xdr:col>
      <xdr:colOff>0</xdr:colOff>
      <xdr:row>52</xdr:row>
      <xdr:rowOff>0</xdr:rowOff>
    </xdr:to>
    <xdr:graphicFrame macro="">
      <xdr:nvGraphicFramePr>
        <xdr:cNvPr id="3" name="HistogramChart">
          <a:extLst>
            <a:ext uri="{FF2B5EF4-FFF2-40B4-BE49-F238E27FC236}">
              <a16:creationId xmlns:a16="http://schemas.microsoft.com/office/drawing/2014/main" id="{5B419213-32E5-7FED-F172-D0BE67B71D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1B334EE-E5A1-4C18-A07B-A6CAD2367187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0e1f05e9-17e0-4318-87be-ed6598dad7c5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showGridLines="0" workbookViewId="0"/>
  </sheetViews>
  <sheetFormatPr defaultRowHeight="15" x14ac:dyDescent="0.25"/>
  <cols>
    <col min="1" max="1" width="49.5703125" customWidth="1"/>
    <col min="2" max="2" width="72.42578125" customWidth="1"/>
  </cols>
  <sheetData>
    <row r="1" spans="1:2" ht="23.25" x14ac:dyDescent="0.35">
      <c r="A1" s="14" t="s">
        <v>0</v>
      </c>
    </row>
    <row r="2" spans="1:2" x14ac:dyDescent="0.25">
      <c r="A2" s="15" t="s">
        <v>42</v>
      </c>
    </row>
    <row r="4" spans="1:2" ht="27.95" customHeight="1" x14ac:dyDescent="0.25">
      <c r="A4" s="17" t="s">
        <v>1</v>
      </c>
    </row>
    <row r="5" spans="1:2" x14ac:dyDescent="0.25">
      <c r="A5" s="16" t="s">
        <v>43</v>
      </c>
    </row>
    <row r="7" spans="1:2" ht="27.95" customHeight="1" x14ac:dyDescent="0.25">
      <c r="A7" s="17" t="s">
        <v>132</v>
      </c>
    </row>
    <row r="8" spans="1:2" ht="27.95" customHeight="1" x14ac:dyDescent="0.25">
      <c r="A8" s="47" t="s">
        <v>48</v>
      </c>
      <c r="B8" s="16" t="s">
        <v>44</v>
      </c>
    </row>
    <row r="9" spans="1:2" ht="27.95" customHeight="1" x14ac:dyDescent="0.25">
      <c r="A9" s="48" t="s">
        <v>49</v>
      </c>
      <c r="B9" s="16" t="s">
        <v>45</v>
      </c>
    </row>
    <row r="10" spans="1:2" ht="27.95" customHeight="1" x14ac:dyDescent="0.25">
      <c r="A10" s="48" t="s">
        <v>50</v>
      </c>
      <c r="B10" s="16" t="s">
        <v>46</v>
      </c>
    </row>
    <row r="11" spans="1:2" x14ac:dyDescent="0.25">
      <c r="A11" s="48" t="s">
        <v>51</v>
      </c>
      <c r="B11" s="16" t="s">
        <v>47</v>
      </c>
    </row>
    <row r="12" spans="1:2" x14ac:dyDescent="0.25">
      <c r="A12" s="48" t="s">
        <v>52</v>
      </c>
      <c r="B12" s="16" t="s">
        <v>133</v>
      </c>
    </row>
    <row r="13" spans="1:2" ht="27.95" customHeight="1" x14ac:dyDescent="0.25"/>
    <row r="14" spans="1:2" ht="27.95" customHeight="1" x14ac:dyDescent="0.25">
      <c r="A14" s="17" t="s">
        <v>2</v>
      </c>
    </row>
    <row r="15" spans="1:2" x14ac:dyDescent="0.25">
      <c r="A15" s="46" t="s">
        <v>53</v>
      </c>
    </row>
    <row r="16" spans="1:2" x14ac:dyDescent="0.25">
      <c r="A16" s="46" t="s">
        <v>54</v>
      </c>
    </row>
    <row r="17" spans="1:2" x14ac:dyDescent="0.25">
      <c r="A17" s="46" t="s">
        <v>55</v>
      </c>
    </row>
    <row r="18" spans="1:2" x14ac:dyDescent="0.25">
      <c r="A18" s="46" t="s">
        <v>56</v>
      </c>
    </row>
    <row r="19" spans="1:2" x14ac:dyDescent="0.25">
      <c r="A19" s="46" t="s">
        <v>57</v>
      </c>
    </row>
    <row r="21" spans="1:2" ht="16.5" x14ac:dyDescent="0.25">
      <c r="A21" s="17" t="s">
        <v>58</v>
      </c>
    </row>
    <row r="22" spans="1:2" x14ac:dyDescent="0.25">
      <c r="A22" s="18" t="s">
        <v>59</v>
      </c>
      <c r="B22" s="18" t="s">
        <v>60</v>
      </c>
    </row>
    <row r="23" spans="1:2" x14ac:dyDescent="0.25">
      <c r="A23" s="19" t="s">
        <v>61</v>
      </c>
      <c r="B23" s="20" t="s">
        <v>62</v>
      </c>
    </row>
    <row r="24" spans="1:2" x14ac:dyDescent="0.25">
      <c r="A24" s="19" t="s">
        <v>63</v>
      </c>
      <c r="B24" s="20" t="s">
        <v>64</v>
      </c>
    </row>
    <row r="25" spans="1:2" x14ac:dyDescent="0.25">
      <c r="A25" s="19" t="s">
        <v>65</v>
      </c>
      <c r="B25" s="21" t="s">
        <v>66</v>
      </c>
    </row>
    <row r="26" spans="1:2" x14ac:dyDescent="0.25">
      <c r="A26" s="19" t="s">
        <v>67</v>
      </c>
      <c r="B26" s="22" t="s">
        <v>68</v>
      </c>
    </row>
    <row r="28" spans="1:2" ht="16.5" x14ac:dyDescent="0.25">
      <c r="A28" s="49" t="s">
        <v>3</v>
      </c>
    </row>
    <row r="29" spans="1:2" x14ac:dyDescent="0.25">
      <c r="A29" s="50" t="s">
        <v>4</v>
      </c>
    </row>
    <row r="30" spans="1:2" x14ac:dyDescent="0.25">
      <c r="A30" s="50" t="s">
        <v>5</v>
      </c>
    </row>
  </sheetData>
  <hyperlinks>
    <hyperlink ref="A8" location="Dashboard!A1" tooltip="Go to Dashboard!A1" display="Dashboard!A1" xr:uid="{C70D0454-0076-4D4D-8D68-BB25B66DCC3B}"/>
    <hyperlink ref="A9" location="'Raw Data Collection'!A1" tooltip="Go to 'Raw Data Collection'!A1" display="'Raw Data Collection'!A1" xr:uid="{D3E1C9F4-C171-4DB1-8F22-F26830EF4A55}"/>
    <hyperlink ref="A10" location="'X-bar R Control Chart'!A1" tooltip="Go to 'X-bar R Control Chart'!A1" display="'X-bar R Control Chart'!A1" xr:uid="{1073407C-793D-48E2-85B2-52F30377E735}"/>
    <hyperlink ref="A11" location="'Capability Calculations'!A1" tooltip="Go to 'Capability Calculations'!A1" display="'Capability Calculations'!A1" xr:uid="{8A583A3F-6630-411B-84AB-FEE4333767B9}"/>
    <hyperlink ref="A12" location="'d2 Constants Reference'!A1" tooltip="Go to 'd2 Constants Reference'!A1" display="'d2 Constants Reference'!A1" xr:uid="{CB0A08E4-AB58-4811-A92D-2FCF8B90FB9A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E6229-8A6B-4BC9-9D22-E15DE5FEBC07}">
  <dimension ref="A1:F20"/>
  <sheetViews>
    <sheetView workbookViewId="0"/>
  </sheetViews>
  <sheetFormatPr defaultRowHeight="15" x14ac:dyDescent="0.25"/>
  <cols>
    <col min="1" max="1" width="43.85546875" customWidth="1"/>
    <col min="2" max="6" width="19" customWidth="1"/>
  </cols>
  <sheetData>
    <row r="1" spans="1:6" ht="26.25" x14ac:dyDescent="0.4">
      <c r="A1" s="42" t="s">
        <v>118</v>
      </c>
    </row>
    <row r="2" spans="1:6" x14ac:dyDescent="0.25">
      <c r="A2" s="15" t="str">
        <f>"Part: "&amp;'Raw Data Collection'!B1&amp;"   |   Characteristic: "&amp;'Raw Data Collection'!B2&amp;"   |   Prepared by: "&amp;'Raw Data Collection'!B6&amp;"   |   Date: "&amp;'Raw Data Collection'!B7</f>
        <v>Part: Ridgeline Housing 4210   |   Characteristic: Bore diameter   |   Prepared by: Enter name   |   Date: Enter date</v>
      </c>
    </row>
    <row r="4" spans="1:6" ht="16.5" x14ac:dyDescent="0.25">
      <c r="A4" s="17" t="s">
        <v>119</v>
      </c>
    </row>
    <row r="5" spans="1:6" x14ac:dyDescent="0.25">
      <c r="B5" s="25" t="s">
        <v>120</v>
      </c>
      <c r="C5" s="25" t="s">
        <v>121</v>
      </c>
      <c r="D5" s="25" t="s">
        <v>122</v>
      </c>
      <c r="E5" s="25" t="s">
        <v>123</v>
      </c>
      <c r="F5" s="25" t="s">
        <v>124</v>
      </c>
    </row>
    <row r="6" spans="1:6" ht="36" customHeight="1" x14ac:dyDescent="0.45">
      <c r="B6" s="45">
        <f>'Capability Calculations'!B11</f>
        <v>5.8149999999982782</v>
      </c>
      <c r="C6" s="45">
        <f>'Capability Calculations'!B14</f>
        <v>5.6211666666654612</v>
      </c>
      <c r="D6" s="45">
        <f>'Capability Calculations'!B22</f>
        <v>5.0268806882605128</v>
      </c>
      <c r="E6" s="45">
        <f>'Capability Calculations'!B16</f>
        <v>6.3245553203360094</v>
      </c>
      <c r="F6" s="45">
        <f>'Capability Calculations'!B19</f>
        <v>6.1137368096586417</v>
      </c>
    </row>
    <row r="8" spans="1:6" ht="18" x14ac:dyDescent="0.25">
      <c r="A8" s="43" t="s">
        <v>125</v>
      </c>
      <c r="B8" s="44" t="str">
        <f>'Capability Calculations'!B27</f>
        <v>Excellent</v>
      </c>
    </row>
    <row r="11" spans="1:6" ht="16.5" x14ac:dyDescent="0.25">
      <c r="A11" s="17" t="s">
        <v>126</v>
      </c>
    </row>
    <row r="12" spans="1:6" x14ac:dyDescent="0.25">
      <c r="A12" s="28" t="s">
        <v>27</v>
      </c>
      <c r="B12" s="33">
        <f>'Capability Calculations'!B1</f>
        <v>25.03</v>
      </c>
    </row>
    <row r="13" spans="1:6" x14ac:dyDescent="0.25">
      <c r="A13" s="28" t="s">
        <v>28</v>
      </c>
      <c r="B13" s="33">
        <f>'Capability Calculations'!B2</f>
        <v>24.97</v>
      </c>
    </row>
    <row r="14" spans="1:6" x14ac:dyDescent="0.25">
      <c r="A14" s="28" t="s">
        <v>127</v>
      </c>
      <c r="B14" s="33">
        <f>'Capability Calculations'!B21</f>
        <v>25</v>
      </c>
    </row>
    <row r="15" spans="1:6" x14ac:dyDescent="0.25">
      <c r="A15" s="28" t="s">
        <v>14</v>
      </c>
      <c r="B15" s="32">
        <f>'Capability Calculations'!B3</f>
        <v>5</v>
      </c>
    </row>
    <row r="16" spans="1:6" x14ac:dyDescent="0.25">
      <c r="A16" s="28" t="s">
        <v>128</v>
      </c>
      <c r="B16" s="32">
        <f>COUNT('Raw Data Collection'!G11:G40)</f>
        <v>1</v>
      </c>
    </row>
    <row r="17" spans="1:2" x14ac:dyDescent="0.25">
      <c r="A17" s="28" t="s">
        <v>129</v>
      </c>
      <c r="B17" s="32">
        <f>COUNTIF('X-bar R Control Chart'!J24:K53,"OOC")</f>
        <v>0</v>
      </c>
    </row>
    <row r="19" spans="1:2" x14ac:dyDescent="0.25">
      <c r="A19" s="28" t="s">
        <v>130</v>
      </c>
      <c r="B19" s="38">
        <f>'Capability Calculations'!B24</f>
        <v>6.03469433490984E-67</v>
      </c>
    </row>
    <row r="20" spans="1:2" x14ac:dyDescent="0.25">
      <c r="A20" s="28" t="s">
        <v>131</v>
      </c>
      <c r="B20" s="38">
        <f>'Capability Calculations'!B25</f>
        <v>6.8548256229195296E-80</v>
      </c>
    </row>
  </sheetData>
  <conditionalFormatting sqref="C6">
    <cfRule type="cellIs" dxfId="10" priority="1" operator="greaterThanOrEqual">
      <formula>1.33</formula>
    </cfRule>
  </conditionalFormatting>
  <conditionalFormatting sqref="C6">
    <cfRule type="cellIs" dxfId="9" priority="2" operator="between">
      <formula>1</formula>
      <formula>1.33</formula>
    </cfRule>
  </conditionalFormatting>
  <conditionalFormatting sqref="C6">
    <cfRule type="cellIs" dxfId="8" priority="3" operator="lessThan">
      <formula>1</formula>
    </cfRule>
  </conditionalFormatting>
  <conditionalFormatting sqref="F6">
    <cfRule type="cellIs" dxfId="7" priority="4" operator="greaterThanOrEqual">
      <formula>1.33</formula>
    </cfRule>
  </conditionalFormatting>
  <conditionalFormatting sqref="F6">
    <cfRule type="cellIs" dxfId="6" priority="5" operator="between">
      <formula>1</formula>
      <formula>1.33</formula>
    </cfRule>
  </conditionalFormatting>
  <conditionalFormatting sqref="F6">
    <cfRule type="cellIs" dxfId="5" priority="6" operator="lessThan">
      <formula>1</formula>
    </cfRule>
  </conditionalFormatting>
  <conditionalFormatting sqref="B8">
    <cfRule type="containsText" dxfId="4" priority="7" operator="containsText" text="Excellent">
      <formula>NOT(ISERROR(SEARCH("Excellent",B8)))</formula>
    </cfRule>
  </conditionalFormatting>
  <conditionalFormatting sqref="B8">
    <cfRule type="containsText" dxfId="3" priority="8" operator="containsText" text="Capable">
      <formula>NOT(ISERROR(SEARCH("Capable",B8)))</formula>
    </cfRule>
  </conditionalFormatting>
  <conditionalFormatting sqref="B8">
    <cfRule type="containsText" dxfId="2" priority="9" operator="containsText" text="Marginally">
      <formula>NOT(ISERROR(SEARCH("Marginally",B8)))</formula>
    </cfRule>
  </conditionalFormatting>
  <conditionalFormatting sqref="B8">
    <cfRule type="containsText" dxfId="1" priority="10" operator="containsText" text="Not capable">
      <formula>NOT(ISERROR(SEARCH("Not capable",B8)))</formula>
    </cfRule>
  </conditionalFormatting>
  <conditionalFormatting sqref="B17">
    <cfRule type="cellIs" dxfId="0" priority="11" operator="greaterThan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0"/>
  <sheetViews>
    <sheetView showGridLines="0" workbookViewId="0">
      <pane ySplit="10" topLeftCell="A11" activePane="bottomLeft" state="frozen"/>
      <selection pane="bottomLeft"/>
    </sheetView>
  </sheetViews>
  <sheetFormatPr defaultRowHeight="15" x14ac:dyDescent="0.25"/>
  <cols>
    <col min="1" max="8" width="12" customWidth="1"/>
  </cols>
  <sheetData>
    <row r="1" spans="1:8" x14ac:dyDescent="0.25">
      <c r="A1" s="5" t="s">
        <v>8</v>
      </c>
      <c r="B1" s="6" t="s">
        <v>9</v>
      </c>
    </row>
    <row r="2" spans="1:8" x14ac:dyDescent="0.25">
      <c r="A2" s="5" t="s">
        <v>10</v>
      </c>
      <c r="B2" s="6" t="s">
        <v>11</v>
      </c>
    </row>
    <row r="3" spans="1:8" x14ac:dyDescent="0.25">
      <c r="A3" s="5" t="s">
        <v>12</v>
      </c>
      <c r="B3" s="6">
        <v>25.03</v>
      </c>
    </row>
    <row r="4" spans="1:8" x14ac:dyDescent="0.25">
      <c r="A4" s="5" t="s">
        <v>13</v>
      </c>
      <c r="B4" s="6">
        <v>24.97</v>
      </c>
    </row>
    <row r="5" spans="1:8" x14ac:dyDescent="0.25">
      <c r="A5" s="5" t="s">
        <v>14</v>
      </c>
      <c r="B5" s="6">
        <v>5</v>
      </c>
    </row>
    <row r="6" spans="1:8" x14ac:dyDescent="0.25">
      <c r="A6" s="5" t="s">
        <v>15</v>
      </c>
      <c r="B6" s="6" t="s">
        <v>16</v>
      </c>
    </row>
    <row r="7" spans="1:8" x14ac:dyDescent="0.25">
      <c r="A7" s="5" t="s">
        <v>17</v>
      </c>
      <c r="B7" s="6" t="s">
        <v>18</v>
      </c>
    </row>
    <row r="8" spans="1:8" x14ac:dyDescent="0.25">
      <c r="A8" s="4" t="s">
        <v>73</v>
      </c>
    </row>
    <row r="10" spans="1:8" ht="30" x14ac:dyDescent="0.25">
      <c r="A10" s="7" t="s">
        <v>19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5">
      <c r="A11" s="8">
        <v>1</v>
      </c>
      <c r="B11" s="6">
        <v>25.001000000000001</v>
      </c>
      <c r="C11" s="6">
        <v>25.001999999999999</v>
      </c>
      <c r="D11" s="6">
        <v>24.998999999999999</v>
      </c>
      <c r="E11" s="6">
        <v>25.003</v>
      </c>
      <c r="F11" s="6">
        <v>25</v>
      </c>
      <c r="G11" s="9">
        <f t="shared" ref="G11:G35" si="0">IFERROR(AVERAGE(B11:F11),"")</f>
        <v>25.000999999999998</v>
      </c>
      <c r="H11" s="9">
        <f t="shared" ref="H11:H35" si="1">IF(COUNT(B11:F11)=0,"",MAX(B11:F11)-MIN(B11:F11))</f>
        <v>4.0000000000013358E-3</v>
      </c>
    </row>
    <row r="12" spans="1:8" x14ac:dyDescent="0.25">
      <c r="A12" s="8">
        <v>2</v>
      </c>
      <c r="B12" s="10"/>
      <c r="C12" s="10"/>
      <c r="D12" s="10"/>
      <c r="E12" s="10"/>
      <c r="F12" s="10"/>
      <c r="G12" s="9" t="str">
        <f t="shared" si="0"/>
        <v/>
      </c>
      <c r="H12" s="9" t="str">
        <f t="shared" si="1"/>
        <v/>
      </c>
    </row>
    <row r="13" spans="1:8" x14ac:dyDescent="0.25">
      <c r="A13" s="8">
        <v>3</v>
      </c>
      <c r="B13" s="10"/>
      <c r="C13" s="10"/>
      <c r="D13" s="10"/>
      <c r="E13" s="10"/>
      <c r="F13" s="10"/>
      <c r="G13" s="9" t="str">
        <f t="shared" si="0"/>
        <v/>
      </c>
      <c r="H13" s="9" t="str">
        <f t="shared" si="1"/>
        <v/>
      </c>
    </row>
    <row r="14" spans="1:8" x14ac:dyDescent="0.25">
      <c r="A14" s="8">
        <v>4</v>
      </c>
      <c r="B14" s="10"/>
      <c r="C14" s="10"/>
      <c r="D14" s="10"/>
      <c r="E14" s="10"/>
      <c r="F14" s="10"/>
      <c r="G14" s="9" t="str">
        <f t="shared" si="0"/>
        <v/>
      </c>
      <c r="H14" s="9" t="str">
        <f t="shared" si="1"/>
        <v/>
      </c>
    </row>
    <row r="15" spans="1:8" x14ac:dyDescent="0.25">
      <c r="A15" s="8">
        <v>5</v>
      </c>
      <c r="B15" s="10"/>
      <c r="C15" s="10"/>
      <c r="D15" s="10"/>
      <c r="E15" s="10"/>
      <c r="F15" s="10"/>
      <c r="G15" s="9" t="str">
        <f t="shared" si="0"/>
        <v/>
      </c>
      <c r="H15" s="9" t="str">
        <f t="shared" si="1"/>
        <v/>
      </c>
    </row>
    <row r="16" spans="1:8" x14ac:dyDescent="0.25">
      <c r="A16" s="8">
        <v>6</v>
      </c>
      <c r="B16" s="10"/>
      <c r="C16" s="10"/>
      <c r="D16" s="10"/>
      <c r="E16" s="10"/>
      <c r="F16" s="10"/>
      <c r="G16" s="9" t="str">
        <f t="shared" si="0"/>
        <v/>
      </c>
      <c r="H16" s="9" t="str">
        <f t="shared" si="1"/>
        <v/>
      </c>
    </row>
    <row r="17" spans="1:8" x14ac:dyDescent="0.25">
      <c r="A17" s="8">
        <v>7</v>
      </c>
      <c r="B17" s="10"/>
      <c r="C17" s="10"/>
      <c r="D17" s="10"/>
      <c r="E17" s="10"/>
      <c r="F17" s="10"/>
      <c r="G17" s="9" t="str">
        <f t="shared" si="0"/>
        <v/>
      </c>
      <c r="H17" s="9" t="str">
        <f t="shared" si="1"/>
        <v/>
      </c>
    </row>
    <row r="18" spans="1:8" x14ac:dyDescent="0.25">
      <c r="A18" s="8">
        <v>8</v>
      </c>
      <c r="B18" s="10"/>
      <c r="C18" s="10"/>
      <c r="D18" s="10"/>
      <c r="E18" s="10"/>
      <c r="F18" s="10"/>
      <c r="G18" s="9" t="str">
        <f t="shared" si="0"/>
        <v/>
      </c>
      <c r="H18" s="9" t="str">
        <f t="shared" si="1"/>
        <v/>
      </c>
    </row>
    <row r="19" spans="1:8" x14ac:dyDescent="0.25">
      <c r="A19" s="8">
        <v>9</v>
      </c>
      <c r="B19" s="10"/>
      <c r="C19" s="10"/>
      <c r="D19" s="10"/>
      <c r="E19" s="10"/>
      <c r="F19" s="10"/>
      <c r="G19" s="9" t="str">
        <f t="shared" si="0"/>
        <v/>
      </c>
      <c r="H19" s="9" t="str">
        <f t="shared" si="1"/>
        <v/>
      </c>
    </row>
    <row r="20" spans="1:8" x14ac:dyDescent="0.25">
      <c r="A20" s="8">
        <v>10</v>
      </c>
      <c r="B20" s="10"/>
      <c r="C20" s="10"/>
      <c r="D20" s="10"/>
      <c r="E20" s="10"/>
      <c r="F20" s="10"/>
      <c r="G20" s="9" t="str">
        <f t="shared" si="0"/>
        <v/>
      </c>
      <c r="H20" s="9" t="str">
        <f t="shared" si="1"/>
        <v/>
      </c>
    </row>
    <row r="21" spans="1:8" x14ac:dyDescent="0.25">
      <c r="A21" s="8">
        <v>11</v>
      </c>
      <c r="B21" s="10"/>
      <c r="C21" s="10"/>
      <c r="D21" s="10"/>
      <c r="E21" s="10"/>
      <c r="F21" s="10"/>
      <c r="G21" s="9" t="str">
        <f t="shared" si="0"/>
        <v/>
      </c>
      <c r="H21" s="9" t="str">
        <f t="shared" si="1"/>
        <v/>
      </c>
    </row>
    <row r="22" spans="1:8" x14ac:dyDescent="0.25">
      <c r="A22" s="8">
        <v>12</v>
      </c>
      <c r="B22" s="10"/>
      <c r="C22" s="10"/>
      <c r="D22" s="10"/>
      <c r="E22" s="10"/>
      <c r="F22" s="10"/>
      <c r="G22" s="9" t="str">
        <f t="shared" si="0"/>
        <v/>
      </c>
      <c r="H22" s="9" t="str">
        <f t="shared" si="1"/>
        <v/>
      </c>
    </row>
    <row r="23" spans="1:8" x14ac:dyDescent="0.25">
      <c r="A23" s="8">
        <v>13</v>
      </c>
      <c r="B23" s="10"/>
      <c r="C23" s="10"/>
      <c r="D23" s="10"/>
      <c r="E23" s="10"/>
      <c r="F23" s="10"/>
      <c r="G23" s="9" t="str">
        <f t="shared" si="0"/>
        <v/>
      </c>
      <c r="H23" s="9" t="str">
        <f t="shared" si="1"/>
        <v/>
      </c>
    </row>
    <row r="24" spans="1:8" x14ac:dyDescent="0.25">
      <c r="A24" s="8">
        <v>14</v>
      </c>
      <c r="B24" s="10"/>
      <c r="C24" s="10"/>
      <c r="D24" s="10"/>
      <c r="E24" s="10"/>
      <c r="F24" s="10"/>
      <c r="G24" s="9" t="str">
        <f t="shared" si="0"/>
        <v/>
      </c>
      <c r="H24" s="9" t="str">
        <f t="shared" si="1"/>
        <v/>
      </c>
    </row>
    <row r="25" spans="1:8" x14ac:dyDescent="0.25">
      <c r="A25" s="8">
        <v>15</v>
      </c>
      <c r="B25" s="10"/>
      <c r="C25" s="10"/>
      <c r="D25" s="10"/>
      <c r="E25" s="10"/>
      <c r="F25" s="10"/>
      <c r="G25" s="9" t="str">
        <f t="shared" si="0"/>
        <v/>
      </c>
      <c r="H25" s="9" t="str">
        <f t="shared" si="1"/>
        <v/>
      </c>
    </row>
    <row r="26" spans="1:8" x14ac:dyDescent="0.25">
      <c r="A26" s="8">
        <v>16</v>
      </c>
      <c r="B26" s="10"/>
      <c r="C26" s="10"/>
      <c r="D26" s="10"/>
      <c r="E26" s="10"/>
      <c r="F26" s="10"/>
      <c r="G26" s="9" t="str">
        <f t="shared" si="0"/>
        <v/>
      </c>
      <c r="H26" s="9" t="str">
        <f t="shared" si="1"/>
        <v/>
      </c>
    </row>
    <row r="27" spans="1:8" x14ac:dyDescent="0.25">
      <c r="A27" s="8">
        <v>17</v>
      </c>
      <c r="B27" s="10"/>
      <c r="C27" s="10"/>
      <c r="D27" s="10"/>
      <c r="E27" s="10"/>
      <c r="F27" s="10"/>
      <c r="G27" s="9" t="str">
        <f t="shared" si="0"/>
        <v/>
      </c>
      <c r="H27" s="9" t="str">
        <f t="shared" si="1"/>
        <v/>
      </c>
    </row>
    <row r="28" spans="1:8" x14ac:dyDescent="0.25">
      <c r="A28" s="8">
        <v>18</v>
      </c>
      <c r="B28" s="10"/>
      <c r="C28" s="10"/>
      <c r="D28" s="10"/>
      <c r="E28" s="10"/>
      <c r="F28" s="10"/>
      <c r="G28" s="9" t="str">
        <f t="shared" si="0"/>
        <v/>
      </c>
      <c r="H28" s="9" t="str">
        <f t="shared" si="1"/>
        <v/>
      </c>
    </row>
    <row r="29" spans="1:8" x14ac:dyDescent="0.25">
      <c r="A29" s="8">
        <v>19</v>
      </c>
      <c r="B29" s="10"/>
      <c r="C29" s="10"/>
      <c r="D29" s="10"/>
      <c r="E29" s="10"/>
      <c r="F29" s="10"/>
      <c r="G29" s="9" t="str">
        <f t="shared" si="0"/>
        <v/>
      </c>
      <c r="H29" s="9" t="str">
        <f t="shared" si="1"/>
        <v/>
      </c>
    </row>
    <row r="30" spans="1:8" x14ac:dyDescent="0.25">
      <c r="A30" s="8">
        <v>20</v>
      </c>
      <c r="B30" s="10"/>
      <c r="C30" s="10"/>
      <c r="D30" s="10"/>
      <c r="E30" s="10"/>
      <c r="F30" s="10"/>
      <c r="G30" s="9" t="str">
        <f t="shared" si="0"/>
        <v/>
      </c>
      <c r="H30" s="9" t="str">
        <f t="shared" si="1"/>
        <v/>
      </c>
    </row>
    <row r="31" spans="1:8" x14ac:dyDescent="0.25">
      <c r="A31" s="8">
        <v>21</v>
      </c>
      <c r="B31" s="10"/>
      <c r="C31" s="10"/>
      <c r="D31" s="10"/>
      <c r="E31" s="10"/>
      <c r="F31" s="10"/>
      <c r="G31" s="9" t="str">
        <f t="shared" si="0"/>
        <v/>
      </c>
      <c r="H31" s="9" t="str">
        <f t="shared" si="1"/>
        <v/>
      </c>
    </row>
    <row r="32" spans="1:8" x14ac:dyDescent="0.25">
      <c r="A32" s="8">
        <v>22</v>
      </c>
      <c r="B32" s="10"/>
      <c r="C32" s="10"/>
      <c r="D32" s="10"/>
      <c r="E32" s="10"/>
      <c r="F32" s="10"/>
      <c r="G32" s="9" t="str">
        <f t="shared" si="0"/>
        <v/>
      </c>
      <c r="H32" s="9" t="str">
        <f t="shared" si="1"/>
        <v/>
      </c>
    </row>
    <row r="33" spans="1:8" x14ac:dyDescent="0.25">
      <c r="A33" s="8">
        <v>23</v>
      </c>
      <c r="B33" s="10"/>
      <c r="C33" s="10"/>
      <c r="D33" s="10"/>
      <c r="E33" s="10"/>
      <c r="F33" s="10"/>
      <c r="G33" s="9" t="str">
        <f t="shared" si="0"/>
        <v/>
      </c>
      <c r="H33" s="9" t="str">
        <f t="shared" si="1"/>
        <v/>
      </c>
    </row>
    <row r="34" spans="1:8" x14ac:dyDescent="0.25">
      <c r="A34" s="8">
        <v>24</v>
      </c>
      <c r="B34" s="10"/>
      <c r="C34" s="10"/>
      <c r="D34" s="10"/>
      <c r="E34" s="10"/>
      <c r="F34" s="10"/>
      <c r="G34" s="9" t="str">
        <f t="shared" si="0"/>
        <v/>
      </c>
      <c r="H34" s="9" t="str">
        <f t="shared" si="1"/>
        <v/>
      </c>
    </row>
    <row r="35" spans="1:8" x14ac:dyDescent="0.25">
      <c r="A35" s="8">
        <v>25</v>
      </c>
      <c r="B35" s="10"/>
      <c r="C35" s="10"/>
      <c r="D35" s="10"/>
      <c r="E35" s="10"/>
      <c r="F35" s="10"/>
      <c r="G35" s="9" t="str">
        <f t="shared" si="0"/>
        <v/>
      </c>
      <c r="H35" s="9" t="str">
        <f t="shared" si="1"/>
        <v/>
      </c>
    </row>
    <row r="36" spans="1:8" x14ac:dyDescent="0.25">
      <c r="A36" s="8">
        <v>26</v>
      </c>
      <c r="B36" s="10"/>
      <c r="C36" s="10"/>
      <c r="D36" s="10"/>
      <c r="E36" s="10"/>
      <c r="F36" s="10"/>
      <c r="G36" s="9" t="str">
        <f t="shared" ref="G36:G40" si="2">IFERROR(AVERAGE(B36:F36),"")</f>
        <v/>
      </c>
      <c r="H36" s="9" t="str">
        <f t="shared" ref="H36:H40" si="3">IF(COUNT(B36:F36)=0,"",MAX(B36:F36)-MIN(B36:F36))</f>
        <v/>
      </c>
    </row>
    <row r="37" spans="1:8" x14ac:dyDescent="0.25">
      <c r="A37" s="8">
        <v>27</v>
      </c>
      <c r="B37" s="10"/>
      <c r="C37" s="10"/>
      <c r="D37" s="10"/>
      <c r="E37" s="10"/>
      <c r="F37" s="10"/>
      <c r="G37" s="9" t="str">
        <f t="shared" si="2"/>
        <v/>
      </c>
      <c r="H37" s="9" t="str">
        <f t="shared" si="3"/>
        <v/>
      </c>
    </row>
    <row r="38" spans="1:8" x14ac:dyDescent="0.25">
      <c r="A38" s="8">
        <v>28</v>
      </c>
      <c r="B38" s="10"/>
      <c r="C38" s="10"/>
      <c r="D38" s="10"/>
      <c r="E38" s="10"/>
      <c r="F38" s="10"/>
      <c r="G38" s="9" t="str">
        <f t="shared" si="2"/>
        <v/>
      </c>
      <c r="H38" s="9" t="str">
        <f t="shared" si="3"/>
        <v/>
      </c>
    </row>
    <row r="39" spans="1:8" x14ac:dyDescent="0.25">
      <c r="A39" s="8">
        <v>29</v>
      </c>
      <c r="B39" s="10"/>
      <c r="C39" s="10"/>
      <c r="D39" s="10"/>
      <c r="E39" s="10"/>
      <c r="F39" s="10"/>
      <c r="G39" s="9" t="str">
        <f t="shared" si="2"/>
        <v/>
      </c>
      <c r="H39" s="9" t="str">
        <f t="shared" si="3"/>
        <v/>
      </c>
    </row>
    <row r="40" spans="1:8" x14ac:dyDescent="0.25">
      <c r="A40" s="8">
        <v>30</v>
      </c>
      <c r="B40" s="10"/>
      <c r="C40" s="10"/>
      <c r="D40" s="10"/>
      <c r="E40" s="10"/>
      <c r="F40" s="10"/>
      <c r="G40" s="9" t="str">
        <f t="shared" si="2"/>
        <v/>
      </c>
      <c r="H40" s="9" t="str">
        <f t="shared" si="3"/>
        <v/>
      </c>
    </row>
  </sheetData>
  <conditionalFormatting sqref="B11:F40">
    <cfRule type="expression" dxfId="19" priority="1">
      <formula>AND(ISNUMBER(B11),OR(B11&gt;$B$3,B11&lt;$B$4))</formula>
    </cfRule>
  </conditionalFormatting>
  <dataValidations count="1">
    <dataValidation type="whole" allowBlank="1" showInputMessage="1" showErrorMessage="1" errorTitle="Invalid subgroup size" error="Subgroup size must be a whole number between 2 and 25 (matches the d2 Constants Reference table)." sqref="B5" xr:uid="{49ED671C-3819-4BAC-A2AB-27A22FB37A74}">
      <formula1>2</formula1>
      <formula2>25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4D61A-69F4-4754-BCBB-E5BC24ABA2C5}">
  <dimension ref="A1:K53"/>
  <sheetViews>
    <sheetView workbookViewId="0"/>
  </sheetViews>
  <sheetFormatPr defaultRowHeight="15" x14ac:dyDescent="0.25"/>
  <cols>
    <col min="1" max="1" width="41.85546875" customWidth="1"/>
    <col min="2" max="11" width="12.42578125" customWidth="1"/>
  </cols>
  <sheetData>
    <row r="1" spans="1:2" ht="20.25" x14ac:dyDescent="0.3">
      <c r="A1" s="1" t="s">
        <v>76</v>
      </c>
    </row>
    <row r="2" spans="1:2" x14ac:dyDescent="0.25">
      <c r="A2" s="27" t="s">
        <v>77</v>
      </c>
    </row>
    <row r="4" spans="1:2" ht="15.75" x14ac:dyDescent="0.25">
      <c r="A4" s="2" t="s">
        <v>78</v>
      </c>
    </row>
    <row r="5" spans="1:2" x14ac:dyDescent="0.25">
      <c r="A5" s="28" t="s">
        <v>79</v>
      </c>
      <c r="B5" s="29">
        <f>'Raw Data Collection'!B5</f>
        <v>5</v>
      </c>
    </row>
    <row r="6" spans="1:2" x14ac:dyDescent="0.25">
      <c r="A6" s="28" t="s">
        <v>29</v>
      </c>
      <c r="B6" s="30">
        <f>'Capability Calculations'!B5</f>
        <v>25.000999999999998</v>
      </c>
    </row>
    <row r="7" spans="1:2" x14ac:dyDescent="0.25">
      <c r="A7" s="28" t="s">
        <v>30</v>
      </c>
      <c r="B7" s="30">
        <f>'Capability Calculations'!B6</f>
        <v>4.0000000000013358E-3</v>
      </c>
    </row>
    <row r="8" spans="1:2" x14ac:dyDescent="0.25">
      <c r="A8" s="28" t="s">
        <v>80</v>
      </c>
      <c r="B8" s="31">
        <f>IFERROR(INDEX('d2 Constants Reference'!$F$2:$F$25,MATCH(B5,'d2 Constants Reference'!$A$2:$A$25,0)),"")</f>
        <v>0.57699999999999996</v>
      </c>
    </row>
    <row r="9" spans="1:2" x14ac:dyDescent="0.25">
      <c r="A9" s="28" t="s">
        <v>81</v>
      </c>
      <c r="B9" s="31">
        <f>IFERROR(INDEX('d2 Constants Reference'!$C$2:$C$25,MATCH(B5,'d2 Constants Reference'!$A$2:$A$25,0)),"")</f>
        <v>0</v>
      </c>
    </row>
    <row r="10" spans="1:2" x14ac:dyDescent="0.25">
      <c r="A10" s="28" t="s">
        <v>82</v>
      </c>
      <c r="B10" s="31">
        <f>IFERROR(INDEX('d2 Constants Reference'!$D$2:$D$25,MATCH(B5,'d2 Constants Reference'!$A$2:$A$25,0)),"")</f>
        <v>2.1139999999999999</v>
      </c>
    </row>
    <row r="12" spans="1:2" ht="15.75" x14ac:dyDescent="0.25">
      <c r="A12" s="2" t="s">
        <v>83</v>
      </c>
    </row>
    <row r="13" spans="1:2" x14ac:dyDescent="0.25">
      <c r="A13" s="28" t="s">
        <v>84</v>
      </c>
      <c r="B13" s="33">
        <f>IFERROR(B6+B8*B7,"")</f>
        <v>25.003307999999997</v>
      </c>
    </row>
    <row r="14" spans="1:2" x14ac:dyDescent="0.25">
      <c r="A14" s="28" t="s">
        <v>85</v>
      </c>
      <c r="B14" s="33">
        <f>IFERROR(B6,"")</f>
        <v>25.000999999999998</v>
      </c>
    </row>
    <row r="15" spans="1:2" x14ac:dyDescent="0.25">
      <c r="A15" s="28" t="s">
        <v>86</v>
      </c>
      <c r="B15" s="33">
        <f>IFERROR(B6-B8*B7,"")</f>
        <v>24.998691999999998</v>
      </c>
    </row>
    <row r="17" spans="1:11" ht="15.75" x14ac:dyDescent="0.25">
      <c r="A17" s="2" t="s">
        <v>87</v>
      </c>
    </row>
    <row r="18" spans="1:11" x14ac:dyDescent="0.25">
      <c r="A18" s="28" t="s">
        <v>88</v>
      </c>
      <c r="B18" s="33">
        <f>IFERROR(B10*B7,"")</f>
        <v>8.4560000000028241E-3</v>
      </c>
    </row>
    <row r="19" spans="1:11" x14ac:dyDescent="0.25">
      <c r="A19" s="28" t="s">
        <v>89</v>
      </c>
      <c r="B19" s="33">
        <f>IFERROR(B7,"")</f>
        <v>4.0000000000013358E-3</v>
      </c>
    </row>
    <row r="20" spans="1:11" x14ac:dyDescent="0.25">
      <c r="A20" s="28" t="s">
        <v>90</v>
      </c>
      <c r="B20" s="33">
        <f>IFERROR(B9*B7,"")</f>
        <v>0</v>
      </c>
    </row>
    <row r="22" spans="1:11" ht="15.75" x14ac:dyDescent="0.25">
      <c r="A22" s="2" t="s">
        <v>91</v>
      </c>
    </row>
    <row r="23" spans="1:11" x14ac:dyDescent="0.25">
      <c r="A23" s="35" t="s">
        <v>19</v>
      </c>
      <c r="B23" s="35" t="s">
        <v>92</v>
      </c>
      <c r="C23" s="35" t="s">
        <v>93</v>
      </c>
      <c r="D23" s="35" t="s">
        <v>94</v>
      </c>
      <c r="E23" s="35" t="s">
        <v>95</v>
      </c>
      <c r="F23" s="35" t="s">
        <v>96</v>
      </c>
      <c r="G23" s="35" t="s">
        <v>97</v>
      </c>
      <c r="H23" s="35" t="s">
        <v>98</v>
      </c>
      <c r="I23" s="35" t="s">
        <v>99</v>
      </c>
      <c r="J23" s="35" t="s">
        <v>100</v>
      </c>
      <c r="K23" s="35" t="s">
        <v>101</v>
      </c>
    </row>
    <row r="24" spans="1:11" x14ac:dyDescent="0.25">
      <c r="A24" s="23">
        <f>'Raw Data Collection'!A11</f>
        <v>1</v>
      </c>
      <c r="B24" s="34">
        <f>IF('Raw Data Collection'!G11="",NA(),'Raw Data Collection'!G11)</f>
        <v>25.000999999999998</v>
      </c>
      <c r="C24" s="34">
        <f>IF('Raw Data Collection'!H11="",NA(),'Raw Data Collection'!H11)</f>
        <v>4.0000000000013358E-3</v>
      </c>
      <c r="D24" s="34">
        <f>IFERROR($B$13,NA())</f>
        <v>25.003307999999997</v>
      </c>
      <c r="E24" s="34">
        <f>IFERROR($B$14,NA())</f>
        <v>25.000999999999998</v>
      </c>
      <c r="F24" s="34">
        <f>IFERROR($B$15,NA())</f>
        <v>24.998691999999998</v>
      </c>
      <c r="G24" s="34">
        <f>IFERROR($B$18,NA())</f>
        <v>8.4560000000028241E-3</v>
      </c>
      <c r="H24" s="34">
        <f>IFERROR($B$19,NA())</f>
        <v>4.0000000000013358E-3</v>
      </c>
      <c r="I24" s="34">
        <f>IFERROR($B$20,NA())</f>
        <v>0</v>
      </c>
      <c r="J24" s="23" t="str">
        <f>IF(ISNA($B24),"",IF(OR($B24&gt;$B$13,$B24&lt;$B$15),"OOC",""))</f>
        <v/>
      </c>
      <c r="K24" s="23" t="str">
        <f>IF(ISNA($C24),"",IF(OR($C24&gt;$B$18,$C24&lt;$B$20),"OOC",""))</f>
        <v/>
      </c>
    </row>
    <row r="25" spans="1:11" x14ac:dyDescent="0.25">
      <c r="A25" s="23">
        <f>'Raw Data Collection'!A12</f>
        <v>2</v>
      </c>
      <c r="B25" s="34" t="e">
        <f>IF('Raw Data Collection'!G12="",NA(),'Raw Data Collection'!G12)</f>
        <v>#N/A</v>
      </c>
      <c r="C25" s="34" t="e">
        <f>IF('Raw Data Collection'!H12="",NA(),'Raw Data Collection'!H12)</f>
        <v>#N/A</v>
      </c>
      <c r="D25" s="34">
        <f t="shared" ref="D25:D53" si="0">IFERROR($B$13,NA())</f>
        <v>25.003307999999997</v>
      </c>
      <c r="E25" s="34">
        <f t="shared" ref="E25:E53" si="1">IFERROR($B$14,NA())</f>
        <v>25.000999999999998</v>
      </c>
      <c r="F25" s="34">
        <f t="shared" ref="F25:F53" si="2">IFERROR($B$15,NA())</f>
        <v>24.998691999999998</v>
      </c>
      <c r="G25" s="34">
        <f t="shared" ref="G25:G53" si="3">IFERROR($B$18,NA())</f>
        <v>8.4560000000028241E-3</v>
      </c>
      <c r="H25" s="34">
        <f t="shared" ref="H25:H53" si="4">IFERROR($B$19,NA())</f>
        <v>4.0000000000013358E-3</v>
      </c>
      <c r="I25" s="34">
        <f t="shared" ref="I25:I53" si="5">IFERROR($B$20,NA())</f>
        <v>0</v>
      </c>
      <c r="J25" s="23" t="str">
        <f t="shared" ref="J25:J53" si="6">IF(ISNA($B25),"",IF(OR($B25&gt;$B$13,$B25&lt;$B$15),"OOC",""))</f>
        <v/>
      </c>
      <c r="K25" s="23" t="str">
        <f t="shared" ref="K25:K53" si="7">IF(ISNA($C25),"",IF(OR($C25&gt;$B$18,$C25&lt;$B$20),"OOC",""))</f>
        <v/>
      </c>
    </row>
    <row r="26" spans="1:11" x14ac:dyDescent="0.25">
      <c r="A26" s="23">
        <f>'Raw Data Collection'!A13</f>
        <v>3</v>
      </c>
      <c r="B26" s="34" t="e">
        <f>IF('Raw Data Collection'!G13="",NA(),'Raw Data Collection'!G13)</f>
        <v>#N/A</v>
      </c>
      <c r="C26" s="34" t="e">
        <f>IF('Raw Data Collection'!H13="",NA(),'Raw Data Collection'!H13)</f>
        <v>#N/A</v>
      </c>
      <c r="D26" s="34">
        <f t="shared" si="0"/>
        <v>25.003307999999997</v>
      </c>
      <c r="E26" s="34">
        <f t="shared" si="1"/>
        <v>25.000999999999998</v>
      </c>
      <c r="F26" s="34">
        <f t="shared" si="2"/>
        <v>24.998691999999998</v>
      </c>
      <c r="G26" s="34">
        <f t="shared" si="3"/>
        <v>8.4560000000028241E-3</v>
      </c>
      <c r="H26" s="34">
        <f t="shared" si="4"/>
        <v>4.0000000000013358E-3</v>
      </c>
      <c r="I26" s="34">
        <f t="shared" si="5"/>
        <v>0</v>
      </c>
      <c r="J26" s="23" t="str">
        <f t="shared" si="6"/>
        <v/>
      </c>
      <c r="K26" s="23" t="str">
        <f t="shared" si="7"/>
        <v/>
      </c>
    </row>
    <row r="27" spans="1:11" x14ac:dyDescent="0.25">
      <c r="A27" s="23">
        <f>'Raw Data Collection'!A14</f>
        <v>4</v>
      </c>
      <c r="B27" s="34" t="e">
        <f>IF('Raw Data Collection'!G14="",NA(),'Raw Data Collection'!G14)</f>
        <v>#N/A</v>
      </c>
      <c r="C27" s="34" t="e">
        <f>IF('Raw Data Collection'!H14="",NA(),'Raw Data Collection'!H14)</f>
        <v>#N/A</v>
      </c>
      <c r="D27" s="34">
        <f t="shared" si="0"/>
        <v>25.003307999999997</v>
      </c>
      <c r="E27" s="34">
        <f t="shared" si="1"/>
        <v>25.000999999999998</v>
      </c>
      <c r="F27" s="34">
        <f t="shared" si="2"/>
        <v>24.998691999999998</v>
      </c>
      <c r="G27" s="34">
        <f t="shared" si="3"/>
        <v>8.4560000000028241E-3</v>
      </c>
      <c r="H27" s="34">
        <f t="shared" si="4"/>
        <v>4.0000000000013358E-3</v>
      </c>
      <c r="I27" s="34">
        <f t="shared" si="5"/>
        <v>0</v>
      </c>
      <c r="J27" s="23" t="str">
        <f t="shared" si="6"/>
        <v/>
      </c>
      <c r="K27" s="23" t="str">
        <f t="shared" si="7"/>
        <v/>
      </c>
    </row>
    <row r="28" spans="1:11" x14ac:dyDescent="0.25">
      <c r="A28" s="23">
        <f>'Raw Data Collection'!A15</f>
        <v>5</v>
      </c>
      <c r="B28" s="34" t="e">
        <f>IF('Raw Data Collection'!G15="",NA(),'Raw Data Collection'!G15)</f>
        <v>#N/A</v>
      </c>
      <c r="C28" s="34" t="e">
        <f>IF('Raw Data Collection'!H15="",NA(),'Raw Data Collection'!H15)</f>
        <v>#N/A</v>
      </c>
      <c r="D28" s="34">
        <f t="shared" si="0"/>
        <v>25.003307999999997</v>
      </c>
      <c r="E28" s="34">
        <f t="shared" si="1"/>
        <v>25.000999999999998</v>
      </c>
      <c r="F28" s="34">
        <f t="shared" si="2"/>
        <v>24.998691999999998</v>
      </c>
      <c r="G28" s="34">
        <f t="shared" si="3"/>
        <v>8.4560000000028241E-3</v>
      </c>
      <c r="H28" s="34">
        <f t="shared" si="4"/>
        <v>4.0000000000013358E-3</v>
      </c>
      <c r="I28" s="34">
        <f t="shared" si="5"/>
        <v>0</v>
      </c>
      <c r="J28" s="23" t="str">
        <f t="shared" si="6"/>
        <v/>
      </c>
      <c r="K28" s="23" t="str">
        <f t="shared" si="7"/>
        <v/>
      </c>
    </row>
    <row r="29" spans="1:11" x14ac:dyDescent="0.25">
      <c r="A29" s="23">
        <f>'Raw Data Collection'!A16</f>
        <v>6</v>
      </c>
      <c r="B29" s="34" t="e">
        <f>IF('Raw Data Collection'!G16="",NA(),'Raw Data Collection'!G16)</f>
        <v>#N/A</v>
      </c>
      <c r="C29" s="34" t="e">
        <f>IF('Raw Data Collection'!H16="",NA(),'Raw Data Collection'!H16)</f>
        <v>#N/A</v>
      </c>
      <c r="D29" s="34">
        <f t="shared" si="0"/>
        <v>25.003307999999997</v>
      </c>
      <c r="E29" s="34">
        <f t="shared" si="1"/>
        <v>25.000999999999998</v>
      </c>
      <c r="F29" s="34">
        <f t="shared" si="2"/>
        <v>24.998691999999998</v>
      </c>
      <c r="G29" s="34">
        <f t="shared" si="3"/>
        <v>8.4560000000028241E-3</v>
      </c>
      <c r="H29" s="34">
        <f t="shared" si="4"/>
        <v>4.0000000000013358E-3</v>
      </c>
      <c r="I29" s="34">
        <f t="shared" si="5"/>
        <v>0</v>
      </c>
      <c r="J29" s="23" t="str">
        <f t="shared" si="6"/>
        <v/>
      </c>
      <c r="K29" s="23" t="str">
        <f t="shared" si="7"/>
        <v/>
      </c>
    </row>
    <row r="30" spans="1:11" x14ac:dyDescent="0.25">
      <c r="A30" s="23">
        <f>'Raw Data Collection'!A17</f>
        <v>7</v>
      </c>
      <c r="B30" s="34" t="e">
        <f>IF('Raw Data Collection'!G17="",NA(),'Raw Data Collection'!G17)</f>
        <v>#N/A</v>
      </c>
      <c r="C30" s="34" t="e">
        <f>IF('Raw Data Collection'!H17="",NA(),'Raw Data Collection'!H17)</f>
        <v>#N/A</v>
      </c>
      <c r="D30" s="34">
        <f t="shared" si="0"/>
        <v>25.003307999999997</v>
      </c>
      <c r="E30" s="34">
        <f t="shared" si="1"/>
        <v>25.000999999999998</v>
      </c>
      <c r="F30" s="34">
        <f t="shared" si="2"/>
        <v>24.998691999999998</v>
      </c>
      <c r="G30" s="34">
        <f t="shared" si="3"/>
        <v>8.4560000000028241E-3</v>
      </c>
      <c r="H30" s="34">
        <f t="shared" si="4"/>
        <v>4.0000000000013358E-3</v>
      </c>
      <c r="I30" s="34">
        <f t="shared" si="5"/>
        <v>0</v>
      </c>
      <c r="J30" s="23" t="str">
        <f t="shared" si="6"/>
        <v/>
      </c>
      <c r="K30" s="23" t="str">
        <f t="shared" si="7"/>
        <v/>
      </c>
    </row>
    <row r="31" spans="1:11" x14ac:dyDescent="0.25">
      <c r="A31" s="23">
        <f>'Raw Data Collection'!A18</f>
        <v>8</v>
      </c>
      <c r="B31" s="34" t="e">
        <f>IF('Raw Data Collection'!G18="",NA(),'Raw Data Collection'!G18)</f>
        <v>#N/A</v>
      </c>
      <c r="C31" s="34" t="e">
        <f>IF('Raw Data Collection'!H18="",NA(),'Raw Data Collection'!H18)</f>
        <v>#N/A</v>
      </c>
      <c r="D31" s="34">
        <f t="shared" si="0"/>
        <v>25.003307999999997</v>
      </c>
      <c r="E31" s="34">
        <f t="shared" si="1"/>
        <v>25.000999999999998</v>
      </c>
      <c r="F31" s="34">
        <f t="shared" si="2"/>
        <v>24.998691999999998</v>
      </c>
      <c r="G31" s="34">
        <f t="shared" si="3"/>
        <v>8.4560000000028241E-3</v>
      </c>
      <c r="H31" s="34">
        <f t="shared" si="4"/>
        <v>4.0000000000013358E-3</v>
      </c>
      <c r="I31" s="34">
        <f t="shared" si="5"/>
        <v>0</v>
      </c>
      <c r="J31" s="23" t="str">
        <f t="shared" si="6"/>
        <v/>
      </c>
      <c r="K31" s="23" t="str">
        <f t="shared" si="7"/>
        <v/>
      </c>
    </row>
    <row r="32" spans="1:11" x14ac:dyDescent="0.25">
      <c r="A32" s="23">
        <f>'Raw Data Collection'!A19</f>
        <v>9</v>
      </c>
      <c r="B32" s="34" t="e">
        <f>IF('Raw Data Collection'!G19="",NA(),'Raw Data Collection'!G19)</f>
        <v>#N/A</v>
      </c>
      <c r="C32" s="34" t="e">
        <f>IF('Raw Data Collection'!H19="",NA(),'Raw Data Collection'!H19)</f>
        <v>#N/A</v>
      </c>
      <c r="D32" s="34">
        <f t="shared" si="0"/>
        <v>25.003307999999997</v>
      </c>
      <c r="E32" s="34">
        <f t="shared" si="1"/>
        <v>25.000999999999998</v>
      </c>
      <c r="F32" s="34">
        <f t="shared" si="2"/>
        <v>24.998691999999998</v>
      </c>
      <c r="G32" s="34">
        <f t="shared" si="3"/>
        <v>8.4560000000028241E-3</v>
      </c>
      <c r="H32" s="34">
        <f t="shared" si="4"/>
        <v>4.0000000000013358E-3</v>
      </c>
      <c r="I32" s="34">
        <f t="shared" si="5"/>
        <v>0</v>
      </c>
      <c r="J32" s="23" t="str">
        <f t="shared" si="6"/>
        <v/>
      </c>
      <c r="K32" s="23" t="str">
        <f t="shared" si="7"/>
        <v/>
      </c>
    </row>
    <row r="33" spans="1:11" x14ac:dyDescent="0.25">
      <c r="A33" s="23">
        <f>'Raw Data Collection'!A20</f>
        <v>10</v>
      </c>
      <c r="B33" s="34" t="e">
        <f>IF('Raw Data Collection'!G20="",NA(),'Raw Data Collection'!G20)</f>
        <v>#N/A</v>
      </c>
      <c r="C33" s="34" t="e">
        <f>IF('Raw Data Collection'!H20="",NA(),'Raw Data Collection'!H20)</f>
        <v>#N/A</v>
      </c>
      <c r="D33" s="34">
        <f t="shared" si="0"/>
        <v>25.003307999999997</v>
      </c>
      <c r="E33" s="34">
        <f t="shared" si="1"/>
        <v>25.000999999999998</v>
      </c>
      <c r="F33" s="34">
        <f t="shared" si="2"/>
        <v>24.998691999999998</v>
      </c>
      <c r="G33" s="34">
        <f t="shared" si="3"/>
        <v>8.4560000000028241E-3</v>
      </c>
      <c r="H33" s="34">
        <f t="shared" si="4"/>
        <v>4.0000000000013358E-3</v>
      </c>
      <c r="I33" s="34">
        <f t="shared" si="5"/>
        <v>0</v>
      </c>
      <c r="J33" s="23" t="str">
        <f t="shared" si="6"/>
        <v/>
      </c>
      <c r="K33" s="23" t="str">
        <f t="shared" si="7"/>
        <v/>
      </c>
    </row>
    <row r="34" spans="1:11" x14ac:dyDescent="0.25">
      <c r="A34" s="23">
        <f>'Raw Data Collection'!A21</f>
        <v>11</v>
      </c>
      <c r="B34" s="34" t="e">
        <f>IF('Raw Data Collection'!G21="",NA(),'Raw Data Collection'!G21)</f>
        <v>#N/A</v>
      </c>
      <c r="C34" s="34" t="e">
        <f>IF('Raw Data Collection'!H21="",NA(),'Raw Data Collection'!H21)</f>
        <v>#N/A</v>
      </c>
      <c r="D34" s="34">
        <f t="shared" si="0"/>
        <v>25.003307999999997</v>
      </c>
      <c r="E34" s="34">
        <f t="shared" si="1"/>
        <v>25.000999999999998</v>
      </c>
      <c r="F34" s="34">
        <f t="shared" si="2"/>
        <v>24.998691999999998</v>
      </c>
      <c r="G34" s="34">
        <f t="shared" si="3"/>
        <v>8.4560000000028241E-3</v>
      </c>
      <c r="H34" s="34">
        <f t="shared" si="4"/>
        <v>4.0000000000013358E-3</v>
      </c>
      <c r="I34" s="34">
        <f t="shared" si="5"/>
        <v>0</v>
      </c>
      <c r="J34" s="23" t="str">
        <f t="shared" si="6"/>
        <v/>
      </c>
      <c r="K34" s="23" t="str">
        <f t="shared" si="7"/>
        <v/>
      </c>
    </row>
    <row r="35" spans="1:11" x14ac:dyDescent="0.25">
      <c r="A35" s="23">
        <f>'Raw Data Collection'!A22</f>
        <v>12</v>
      </c>
      <c r="B35" s="34" t="e">
        <f>IF('Raw Data Collection'!G22="",NA(),'Raw Data Collection'!G22)</f>
        <v>#N/A</v>
      </c>
      <c r="C35" s="34" t="e">
        <f>IF('Raw Data Collection'!H22="",NA(),'Raw Data Collection'!H22)</f>
        <v>#N/A</v>
      </c>
      <c r="D35" s="34">
        <f t="shared" si="0"/>
        <v>25.003307999999997</v>
      </c>
      <c r="E35" s="34">
        <f t="shared" si="1"/>
        <v>25.000999999999998</v>
      </c>
      <c r="F35" s="34">
        <f t="shared" si="2"/>
        <v>24.998691999999998</v>
      </c>
      <c r="G35" s="34">
        <f t="shared" si="3"/>
        <v>8.4560000000028241E-3</v>
      </c>
      <c r="H35" s="34">
        <f t="shared" si="4"/>
        <v>4.0000000000013358E-3</v>
      </c>
      <c r="I35" s="34">
        <f t="shared" si="5"/>
        <v>0</v>
      </c>
      <c r="J35" s="23" t="str">
        <f t="shared" si="6"/>
        <v/>
      </c>
      <c r="K35" s="23" t="str">
        <f t="shared" si="7"/>
        <v/>
      </c>
    </row>
    <row r="36" spans="1:11" x14ac:dyDescent="0.25">
      <c r="A36" s="23">
        <f>'Raw Data Collection'!A23</f>
        <v>13</v>
      </c>
      <c r="B36" s="34" t="e">
        <f>IF('Raw Data Collection'!G23="",NA(),'Raw Data Collection'!G23)</f>
        <v>#N/A</v>
      </c>
      <c r="C36" s="34" t="e">
        <f>IF('Raw Data Collection'!H23="",NA(),'Raw Data Collection'!H23)</f>
        <v>#N/A</v>
      </c>
      <c r="D36" s="34">
        <f t="shared" si="0"/>
        <v>25.003307999999997</v>
      </c>
      <c r="E36" s="34">
        <f t="shared" si="1"/>
        <v>25.000999999999998</v>
      </c>
      <c r="F36" s="34">
        <f t="shared" si="2"/>
        <v>24.998691999999998</v>
      </c>
      <c r="G36" s="34">
        <f t="shared" si="3"/>
        <v>8.4560000000028241E-3</v>
      </c>
      <c r="H36" s="34">
        <f t="shared" si="4"/>
        <v>4.0000000000013358E-3</v>
      </c>
      <c r="I36" s="34">
        <f t="shared" si="5"/>
        <v>0</v>
      </c>
      <c r="J36" s="23" t="str">
        <f t="shared" si="6"/>
        <v/>
      </c>
      <c r="K36" s="23" t="str">
        <f t="shared" si="7"/>
        <v/>
      </c>
    </row>
    <row r="37" spans="1:11" x14ac:dyDescent="0.25">
      <c r="A37" s="23">
        <f>'Raw Data Collection'!A24</f>
        <v>14</v>
      </c>
      <c r="B37" s="34" t="e">
        <f>IF('Raw Data Collection'!G24="",NA(),'Raw Data Collection'!G24)</f>
        <v>#N/A</v>
      </c>
      <c r="C37" s="34" t="e">
        <f>IF('Raw Data Collection'!H24="",NA(),'Raw Data Collection'!H24)</f>
        <v>#N/A</v>
      </c>
      <c r="D37" s="34">
        <f t="shared" si="0"/>
        <v>25.003307999999997</v>
      </c>
      <c r="E37" s="34">
        <f t="shared" si="1"/>
        <v>25.000999999999998</v>
      </c>
      <c r="F37" s="34">
        <f t="shared" si="2"/>
        <v>24.998691999999998</v>
      </c>
      <c r="G37" s="34">
        <f t="shared" si="3"/>
        <v>8.4560000000028241E-3</v>
      </c>
      <c r="H37" s="34">
        <f t="shared" si="4"/>
        <v>4.0000000000013358E-3</v>
      </c>
      <c r="I37" s="34">
        <f t="shared" si="5"/>
        <v>0</v>
      </c>
      <c r="J37" s="23" t="str">
        <f t="shared" si="6"/>
        <v/>
      </c>
      <c r="K37" s="23" t="str">
        <f t="shared" si="7"/>
        <v/>
      </c>
    </row>
    <row r="38" spans="1:11" x14ac:dyDescent="0.25">
      <c r="A38" s="23">
        <f>'Raw Data Collection'!A25</f>
        <v>15</v>
      </c>
      <c r="B38" s="34" t="e">
        <f>IF('Raw Data Collection'!G25="",NA(),'Raw Data Collection'!G25)</f>
        <v>#N/A</v>
      </c>
      <c r="C38" s="34" t="e">
        <f>IF('Raw Data Collection'!H25="",NA(),'Raw Data Collection'!H25)</f>
        <v>#N/A</v>
      </c>
      <c r="D38" s="34">
        <f t="shared" si="0"/>
        <v>25.003307999999997</v>
      </c>
      <c r="E38" s="34">
        <f t="shared" si="1"/>
        <v>25.000999999999998</v>
      </c>
      <c r="F38" s="34">
        <f t="shared" si="2"/>
        <v>24.998691999999998</v>
      </c>
      <c r="G38" s="34">
        <f t="shared" si="3"/>
        <v>8.4560000000028241E-3</v>
      </c>
      <c r="H38" s="34">
        <f t="shared" si="4"/>
        <v>4.0000000000013358E-3</v>
      </c>
      <c r="I38" s="34">
        <f t="shared" si="5"/>
        <v>0</v>
      </c>
      <c r="J38" s="23" t="str">
        <f t="shared" si="6"/>
        <v/>
      </c>
      <c r="K38" s="23" t="str">
        <f t="shared" si="7"/>
        <v/>
      </c>
    </row>
    <row r="39" spans="1:11" x14ac:dyDescent="0.25">
      <c r="A39" s="23">
        <f>'Raw Data Collection'!A26</f>
        <v>16</v>
      </c>
      <c r="B39" s="34" t="e">
        <f>IF('Raw Data Collection'!G26="",NA(),'Raw Data Collection'!G26)</f>
        <v>#N/A</v>
      </c>
      <c r="C39" s="34" t="e">
        <f>IF('Raw Data Collection'!H26="",NA(),'Raw Data Collection'!H26)</f>
        <v>#N/A</v>
      </c>
      <c r="D39" s="34">
        <f t="shared" si="0"/>
        <v>25.003307999999997</v>
      </c>
      <c r="E39" s="34">
        <f t="shared" si="1"/>
        <v>25.000999999999998</v>
      </c>
      <c r="F39" s="34">
        <f t="shared" si="2"/>
        <v>24.998691999999998</v>
      </c>
      <c r="G39" s="34">
        <f t="shared" si="3"/>
        <v>8.4560000000028241E-3</v>
      </c>
      <c r="H39" s="34">
        <f t="shared" si="4"/>
        <v>4.0000000000013358E-3</v>
      </c>
      <c r="I39" s="34">
        <f t="shared" si="5"/>
        <v>0</v>
      </c>
      <c r="J39" s="23" t="str">
        <f t="shared" si="6"/>
        <v/>
      </c>
      <c r="K39" s="23" t="str">
        <f t="shared" si="7"/>
        <v/>
      </c>
    </row>
    <row r="40" spans="1:11" x14ac:dyDescent="0.25">
      <c r="A40" s="23">
        <f>'Raw Data Collection'!A27</f>
        <v>17</v>
      </c>
      <c r="B40" s="34" t="e">
        <f>IF('Raw Data Collection'!G27="",NA(),'Raw Data Collection'!G27)</f>
        <v>#N/A</v>
      </c>
      <c r="C40" s="34" t="e">
        <f>IF('Raw Data Collection'!H27="",NA(),'Raw Data Collection'!H27)</f>
        <v>#N/A</v>
      </c>
      <c r="D40" s="34">
        <f t="shared" si="0"/>
        <v>25.003307999999997</v>
      </c>
      <c r="E40" s="34">
        <f t="shared" si="1"/>
        <v>25.000999999999998</v>
      </c>
      <c r="F40" s="34">
        <f t="shared" si="2"/>
        <v>24.998691999999998</v>
      </c>
      <c r="G40" s="34">
        <f t="shared" si="3"/>
        <v>8.4560000000028241E-3</v>
      </c>
      <c r="H40" s="34">
        <f t="shared" si="4"/>
        <v>4.0000000000013358E-3</v>
      </c>
      <c r="I40" s="34">
        <f t="shared" si="5"/>
        <v>0</v>
      </c>
      <c r="J40" s="23" t="str">
        <f t="shared" si="6"/>
        <v/>
      </c>
      <c r="K40" s="23" t="str">
        <f t="shared" si="7"/>
        <v/>
      </c>
    </row>
    <row r="41" spans="1:11" x14ac:dyDescent="0.25">
      <c r="A41" s="23">
        <f>'Raw Data Collection'!A28</f>
        <v>18</v>
      </c>
      <c r="B41" s="34" t="e">
        <f>IF('Raw Data Collection'!G28="",NA(),'Raw Data Collection'!G28)</f>
        <v>#N/A</v>
      </c>
      <c r="C41" s="34" t="e">
        <f>IF('Raw Data Collection'!H28="",NA(),'Raw Data Collection'!H28)</f>
        <v>#N/A</v>
      </c>
      <c r="D41" s="34">
        <f t="shared" si="0"/>
        <v>25.003307999999997</v>
      </c>
      <c r="E41" s="34">
        <f t="shared" si="1"/>
        <v>25.000999999999998</v>
      </c>
      <c r="F41" s="34">
        <f t="shared" si="2"/>
        <v>24.998691999999998</v>
      </c>
      <c r="G41" s="34">
        <f t="shared" si="3"/>
        <v>8.4560000000028241E-3</v>
      </c>
      <c r="H41" s="34">
        <f t="shared" si="4"/>
        <v>4.0000000000013358E-3</v>
      </c>
      <c r="I41" s="34">
        <f t="shared" si="5"/>
        <v>0</v>
      </c>
      <c r="J41" s="23" t="str">
        <f t="shared" si="6"/>
        <v/>
      </c>
      <c r="K41" s="23" t="str">
        <f t="shared" si="7"/>
        <v/>
      </c>
    </row>
    <row r="42" spans="1:11" x14ac:dyDescent="0.25">
      <c r="A42" s="23">
        <f>'Raw Data Collection'!A29</f>
        <v>19</v>
      </c>
      <c r="B42" s="34" t="e">
        <f>IF('Raw Data Collection'!G29="",NA(),'Raw Data Collection'!G29)</f>
        <v>#N/A</v>
      </c>
      <c r="C42" s="34" t="e">
        <f>IF('Raw Data Collection'!H29="",NA(),'Raw Data Collection'!H29)</f>
        <v>#N/A</v>
      </c>
      <c r="D42" s="34">
        <f t="shared" si="0"/>
        <v>25.003307999999997</v>
      </c>
      <c r="E42" s="34">
        <f t="shared" si="1"/>
        <v>25.000999999999998</v>
      </c>
      <c r="F42" s="34">
        <f t="shared" si="2"/>
        <v>24.998691999999998</v>
      </c>
      <c r="G42" s="34">
        <f t="shared" si="3"/>
        <v>8.4560000000028241E-3</v>
      </c>
      <c r="H42" s="34">
        <f t="shared" si="4"/>
        <v>4.0000000000013358E-3</v>
      </c>
      <c r="I42" s="34">
        <f t="shared" si="5"/>
        <v>0</v>
      </c>
      <c r="J42" s="23" t="str">
        <f t="shared" si="6"/>
        <v/>
      </c>
      <c r="K42" s="23" t="str">
        <f t="shared" si="7"/>
        <v/>
      </c>
    </row>
    <row r="43" spans="1:11" x14ac:dyDescent="0.25">
      <c r="A43" s="23">
        <f>'Raw Data Collection'!A30</f>
        <v>20</v>
      </c>
      <c r="B43" s="34" t="e">
        <f>IF('Raw Data Collection'!G30="",NA(),'Raw Data Collection'!G30)</f>
        <v>#N/A</v>
      </c>
      <c r="C43" s="34" t="e">
        <f>IF('Raw Data Collection'!H30="",NA(),'Raw Data Collection'!H30)</f>
        <v>#N/A</v>
      </c>
      <c r="D43" s="34">
        <f t="shared" si="0"/>
        <v>25.003307999999997</v>
      </c>
      <c r="E43" s="34">
        <f t="shared" si="1"/>
        <v>25.000999999999998</v>
      </c>
      <c r="F43" s="34">
        <f t="shared" si="2"/>
        <v>24.998691999999998</v>
      </c>
      <c r="G43" s="34">
        <f t="shared" si="3"/>
        <v>8.4560000000028241E-3</v>
      </c>
      <c r="H43" s="34">
        <f t="shared" si="4"/>
        <v>4.0000000000013358E-3</v>
      </c>
      <c r="I43" s="34">
        <f t="shared" si="5"/>
        <v>0</v>
      </c>
      <c r="J43" s="23" t="str">
        <f t="shared" si="6"/>
        <v/>
      </c>
      <c r="K43" s="23" t="str">
        <f t="shared" si="7"/>
        <v/>
      </c>
    </row>
    <row r="44" spans="1:11" x14ac:dyDescent="0.25">
      <c r="A44" s="23">
        <f>'Raw Data Collection'!A31</f>
        <v>21</v>
      </c>
      <c r="B44" s="34" t="e">
        <f>IF('Raw Data Collection'!G31="",NA(),'Raw Data Collection'!G31)</f>
        <v>#N/A</v>
      </c>
      <c r="C44" s="34" t="e">
        <f>IF('Raw Data Collection'!H31="",NA(),'Raw Data Collection'!H31)</f>
        <v>#N/A</v>
      </c>
      <c r="D44" s="34">
        <f t="shared" si="0"/>
        <v>25.003307999999997</v>
      </c>
      <c r="E44" s="34">
        <f t="shared" si="1"/>
        <v>25.000999999999998</v>
      </c>
      <c r="F44" s="34">
        <f t="shared" si="2"/>
        <v>24.998691999999998</v>
      </c>
      <c r="G44" s="34">
        <f t="shared" si="3"/>
        <v>8.4560000000028241E-3</v>
      </c>
      <c r="H44" s="34">
        <f t="shared" si="4"/>
        <v>4.0000000000013358E-3</v>
      </c>
      <c r="I44" s="34">
        <f t="shared" si="5"/>
        <v>0</v>
      </c>
      <c r="J44" s="23" t="str">
        <f t="shared" si="6"/>
        <v/>
      </c>
      <c r="K44" s="23" t="str">
        <f t="shared" si="7"/>
        <v/>
      </c>
    </row>
    <row r="45" spans="1:11" x14ac:dyDescent="0.25">
      <c r="A45" s="23">
        <f>'Raw Data Collection'!A32</f>
        <v>22</v>
      </c>
      <c r="B45" s="34" t="e">
        <f>IF('Raw Data Collection'!G32="",NA(),'Raw Data Collection'!G32)</f>
        <v>#N/A</v>
      </c>
      <c r="C45" s="34" t="e">
        <f>IF('Raw Data Collection'!H32="",NA(),'Raw Data Collection'!H32)</f>
        <v>#N/A</v>
      </c>
      <c r="D45" s="34">
        <f t="shared" si="0"/>
        <v>25.003307999999997</v>
      </c>
      <c r="E45" s="34">
        <f t="shared" si="1"/>
        <v>25.000999999999998</v>
      </c>
      <c r="F45" s="34">
        <f t="shared" si="2"/>
        <v>24.998691999999998</v>
      </c>
      <c r="G45" s="34">
        <f t="shared" si="3"/>
        <v>8.4560000000028241E-3</v>
      </c>
      <c r="H45" s="34">
        <f t="shared" si="4"/>
        <v>4.0000000000013358E-3</v>
      </c>
      <c r="I45" s="34">
        <f t="shared" si="5"/>
        <v>0</v>
      </c>
      <c r="J45" s="23" t="str">
        <f t="shared" si="6"/>
        <v/>
      </c>
      <c r="K45" s="23" t="str">
        <f t="shared" si="7"/>
        <v/>
      </c>
    </row>
    <row r="46" spans="1:11" x14ac:dyDescent="0.25">
      <c r="A46" s="23">
        <f>'Raw Data Collection'!A33</f>
        <v>23</v>
      </c>
      <c r="B46" s="34" t="e">
        <f>IF('Raw Data Collection'!G33="",NA(),'Raw Data Collection'!G33)</f>
        <v>#N/A</v>
      </c>
      <c r="C46" s="34" t="e">
        <f>IF('Raw Data Collection'!H33="",NA(),'Raw Data Collection'!H33)</f>
        <v>#N/A</v>
      </c>
      <c r="D46" s="34">
        <f t="shared" si="0"/>
        <v>25.003307999999997</v>
      </c>
      <c r="E46" s="34">
        <f t="shared" si="1"/>
        <v>25.000999999999998</v>
      </c>
      <c r="F46" s="34">
        <f t="shared" si="2"/>
        <v>24.998691999999998</v>
      </c>
      <c r="G46" s="34">
        <f t="shared" si="3"/>
        <v>8.4560000000028241E-3</v>
      </c>
      <c r="H46" s="34">
        <f t="shared" si="4"/>
        <v>4.0000000000013358E-3</v>
      </c>
      <c r="I46" s="34">
        <f t="shared" si="5"/>
        <v>0</v>
      </c>
      <c r="J46" s="23" t="str">
        <f t="shared" si="6"/>
        <v/>
      </c>
      <c r="K46" s="23" t="str">
        <f t="shared" si="7"/>
        <v/>
      </c>
    </row>
    <row r="47" spans="1:11" x14ac:dyDescent="0.25">
      <c r="A47" s="23">
        <f>'Raw Data Collection'!A34</f>
        <v>24</v>
      </c>
      <c r="B47" s="34" t="e">
        <f>IF('Raw Data Collection'!G34="",NA(),'Raw Data Collection'!G34)</f>
        <v>#N/A</v>
      </c>
      <c r="C47" s="34" t="e">
        <f>IF('Raw Data Collection'!H34="",NA(),'Raw Data Collection'!H34)</f>
        <v>#N/A</v>
      </c>
      <c r="D47" s="34">
        <f t="shared" si="0"/>
        <v>25.003307999999997</v>
      </c>
      <c r="E47" s="34">
        <f t="shared" si="1"/>
        <v>25.000999999999998</v>
      </c>
      <c r="F47" s="34">
        <f t="shared" si="2"/>
        <v>24.998691999999998</v>
      </c>
      <c r="G47" s="34">
        <f t="shared" si="3"/>
        <v>8.4560000000028241E-3</v>
      </c>
      <c r="H47" s="34">
        <f t="shared" si="4"/>
        <v>4.0000000000013358E-3</v>
      </c>
      <c r="I47" s="34">
        <f t="shared" si="5"/>
        <v>0</v>
      </c>
      <c r="J47" s="23" t="str">
        <f t="shared" si="6"/>
        <v/>
      </c>
      <c r="K47" s="23" t="str">
        <f t="shared" si="7"/>
        <v/>
      </c>
    </row>
    <row r="48" spans="1:11" x14ac:dyDescent="0.25">
      <c r="A48" s="23">
        <f>'Raw Data Collection'!A35</f>
        <v>25</v>
      </c>
      <c r="B48" s="34" t="e">
        <f>IF('Raw Data Collection'!G35="",NA(),'Raw Data Collection'!G35)</f>
        <v>#N/A</v>
      </c>
      <c r="C48" s="34" t="e">
        <f>IF('Raw Data Collection'!H35="",NA(),'Raw Data Collection'!H35)</f>
        <v>#N/A</v>
      </c>
      <c r="D48" s="34">
        <f t="shared" si="0"/>
        <v>25.003307999999997</v>
      </c>
      <c r="E48" s="34">
        <f t="shared" si="1"/>
        <v>25.000999999999998</v>
      </c>
      <c r="F48" s="34">
        <f t="shared" si="2"/>
        <v>24.998691999999998</v>
      </c>
      <c r="G48" s="34">
        <f t="shared" si="3"/>
        <v>8.4560000000028241E-3</v>
      </c>
      <c r="H48" s="34">
        <f t="shared" si="4"/>
        <v>4.0000000000013358E-3</v>
      </c>
      <c r="I48" s="34">
        <f t="shared" si="5"/>
        <v>0</v>
      </c>
      <c r="J48" s="23" t="str">
        <f t="shared" si="6"/>
        <v/>
      </c>
      <c r="K48" s="23" t="str">
        <f t="shared" si="7"/>
        <v/>
      </c>
    </row>
    <row r="49" spans="1:11" x14ac:dyDescent="0.25">
      <c r="A49" s="23">
        <f>'Raw Data Collection'!A36</f>
        <v>26</v>
      </c>
      <c r="B49" s="34" t="e">
        <f>IF('Raw Data Collection'!G36="",NA(),'Raw Data Collection'!G36)</f>
        <v>#N/A</v>
      </c>
      <c r="C49" s="34" t="e">
        <f>IF('Raw Data Collection'!H36="",NA(),'Raw Data Collection'!H36)</f>
        <v>#N/A</v>
      </c>
      <c r="D49" s="34">
        <f t="shared" si="0"/>
        <v>25.003307999999997</v>
      </c>
      <c r="E49" s="34">
        <f t="shared" si="1"/>
        <v>25.000999999999998</v>
      </c>
      <c r="F49" s="34">
        <f t="shared" si="2"/>
        <v>24.998691999999998</v>
      </c>
      <c r="G49" s="34">
        <f t="shared" si="3"/>
        <v>8.4560000000028241E-3</v>
      </c>
      <c r="H49" s="34">
        <f t="shared" si="4"/>
        <v>4.0000000000013358E-3</v>
      </c>
      <c r="I49" s="34">
        <f t="shared" si="5"/>
        <v>0</v>
      </c>
      <c r="J49" s="23" t="str">
        <f t="shared" si="6"/>
        <v/>
      </c>
      <c r="K49" s="23" t="str">
        <f t="shared" si="7"/>
        <v/>
      </c>
    </row>
    <row r="50" spans="1:11" x14ac:dyDescent="0.25">
      <c r="A50" s="23">
        <f>'Raw Data Collection'!A37</f>
        <v>27</v>
      </c>
      <c r="B50" s="34" t="e">
        <f>IF('Raw Data Collection'!G37="",NA(),'Raw Data Collection'!G37)</f>
        <v>#N/A</v>
      </c>
      <c r="C50" s="34" t="e">
        <f>IF('Raw Data Collection'!H37="",NA(),'Raw Data Collection'!H37)</f>
        <v>#N/A</v>
      </c>
      <c r="D50" s="34">
        <f t="shared" si="0"/>
        <v>25.003307999999997</v>
      </c>
      <c r="E50" s="34">
        <f t="shared" si="1"/>
        <v>25.000999999999998</v>
      </c>
      <c r="F50" s="34">
        <f t="shared" si="2"/>
        <v>24.998691999999998</v>
      </c>
      <c r="G50" s="34">
        <f t="shared" si="3"/>
        <v>8.4560000000028241E-3</v>
      </c>
      <c r="H50" s="34">
        <f t="shared" si="4"/>
        <v>4.0000000000013358E-3</v>
      </c>
      <c r="I50" s="34">
        <f t="shared" si="5"/>
        <v>0</v>
      </c>
      <c r="J50" s="23" t="str">
        <f t="shared" si="6"/>
        <v/>
      </c>
      <c r="K50" s="23" t="str">
        <f t="shared" si="7"/>
        <v/>
      </c>
    </row>
    <row r="51" spans="1:11" x14ac:dyDescent="0.25">
      <c r="A51" s="23">
        <f>'Raw Data Collection'!A38</f>
        <v>28</v>
      </c>
      <c r="B51" s="34" t="e">
        <f>IF('Raw Data Collection'!G38="",NA(),'Raw Data Collection'!G38)</f>
        <v>#N/A</v>
      </c>
      <c r="C51" s="34" t="e">
        <f>IF('Raw Data Collection'!H38="",NA(),'Raw Data Collection'!H38)</f>
        <v>#N/A</v>
      </c>
      <c r="D51" s="34">
        <f t="shared" si="0"/>
        <v>25.003307999999997</v>
      </c>
      <c r="E51" s="34">
        <f t="shared" si="1"/>
        <v>25.000999999999998</v>
      </c>
      <c r="F51" s="34">
        <f t="shared" si="2"/>
        <v>24.998691999999998</v>
      </c>
      <c r="G51" s="34">
        <f t="shared" si="3"/>
        <v>8.4560000000028241E-3</v>
      </c>
      <c r="H51" s="34">
        <f t="shared" si="4"/>
        <v>4.0000000000013358E-3</v>
      </c>
      <c r="I51" s="34">
        <f t="shared" si="5"/>
        <v>0</v>
      </c>
      <c r="J51" s="23" t="str">
        <f t="shared" si="6"/>
        <v/>
      </c>
      <c r="K51" s="23" t="str">
        <f t="shared" si="7"/>
        <v/>
      </c>
    </row>
    <row r="52" spans="1:11" x14ac:dyDescent="0.25">
      <c r="A52" s="23">
        <f>'Raw Data Collection'!A39</f>
        <v>29</v>
      </c>
      <c r="B52" s="34" t="e">
        <f>IF('Raw Data Collection'!G39="",NA(),'Raw Data Collection'!G39)</f>
        <v>#N/A</v>
      </c>
      <c r="C52" s="34" t="e">
        <f>IF('Raw Data Collection'!H39="",NA(),'Raw Data Collection'!H39)</f>
        <v>#N/A</v>
      </c>
      <c r="D52" s="34">
        <f t="shared" si="0"/>
        <v>25.003307999999997</v>
      </c>
      <c r="E52" s="34">
        <f t="shared" si="1"/>
        <v>25.000999999999998</v>
      </c>
      <c r="F52" s="34">
        <f t="shared" si="2"/>
        <v>24.998691999999998</v>
      </c>
      <c r="G52" s="34">
        <f t="shared" si="3"/>
        <v>8.4560000000028241E-3</v>
      </c>
      <c r="H52" s="34">
        <f t="shared" si="4"/>
        <v>4.0000000000013358E-3</v>
      </c>
      <c r="I52" s="34">
        <f t="shared" si="5"/>
        <v>0</v>
      </c>
      <c r="J52" s="23" t="str">
        <f t="shared" si="6"/>
        <v/>
      </c>
      <c r="K52" s="23" t="str">
        <f t="shared" si="7"/>
        <v/>
      </c>
    </row>
    <row r="53" spans="1:11" x14ac:dyDescent="0.25">
      <c r="A53" s="23">
        <f>'Raw Data Collection'!A40</f>
        <v>30</v>
      </c>
      <c r="B53" s="34" t="e">
        <f>IF('Raw Data Collection'!G40="",NA(),'Raw Data Collection'!G40)</f>
        <v>#N/A</v>
      </c>
      <c r="C53" s="34" t="e">
        <f>IF('Raw Data Collection'!H40="",NA(),'Raw Data Collection'!H40)</f>
        <v>#N/A</v>
      </c>
      <c r="D53" s="34">
        <f t="shared" si="0"/>
        <v>25.003307999999997</v>
      </c>
      <c r="E53" s="34">
        <f t="shared" si="1"/>
        <v>25.000999999999998</v>
      </c>
      <c r="F53" s="34">
        <f t="shared" si="2"/>
        <v>24.998691999999998</v>
      </c>
      <c r="G53" s="34">
        <f t="shared" si="3"/>
        <v>8.4560000000028241E-3</v>
      </c>
      <c r="H53" s="34">
        <f t="shared" si="4"/>
        <v>4.0000000000013358E-3</v>
      </c>
      <c r="I53" s="34">
        <f t="shared" si="5"/>
        <v>0</v>
      </c>
      <c r="J53" s="23" t="str">
        <f t="shared" si="6"/>
        <v/>
      </c>
      <c r="K53" s="23" t="str">
        <f t="shared" si="7"/>
        <v/>
      </c>
    </row>
  </sheetData>
  <conditionalFormatting sqref="J24:K53">
    <cfRule type="containsText" dxfId="18" priority="1" operator="containsText" text="OOC">
      <formula>NOT(ISERROR(SEARCH("OOC",J24)))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9"/>
  <sheetViews>
    <sheetView showGridLines="0" tabSelected="1" workbookViewId="0"/>
  </sheetViews>
  <sheetFormatPr defaultRowHeight="15" x14ac:dyDescent="0.25"/>
  <cols>
    <col min="1" max="1" width="61" customWidth="1"/>
    <col min="2" max="4" width="17.140625" customWidth="1"/>
  </cols>
  <sheetData>
    <row r="1" spans="1:2" x14ac:dyDescent="0.25">
      <c r="A1" s="5" t="s">
        <v>27</v>
      </c>
      <c r="B1" s="11">
        <f>'Raw Data Collection'!B3</f>
        <v>25.03</v>
      </c>
    </row>
    <row r="2" spans="1:2" x14ac:dyDescent="0.25">
      <c r="A2" s="5" t="s">
        <v>28</v>
      </c>
      <c r="B2" s="11">
        <f>'Raw Data Collection'!B4</f>
        <v>24.97</v>
      </c>
    </row>
    <row r="3" spans="1:2" x14ac:dyDescent="0.25">
      <c r="A3" s="5" t="s">
        <v>14</v>
      </c>
      <c r="B3">
        <f>'Raw Data Collection'!B5</f>
        <v>5</v>
      </c>
    </row>
    <row r="5" spans="1:2" x14ac:dyDescent="0.25">
      <c r="A5" s="5" t="s">
        <v>29</v>
      </c>
      <c r="B5" s="11">
        <f>IFERROR(AVERAGE('Raw Data Collection'!G11:G35),"")</f>
        <v>25.000999999999998</v>
      </c>
    </row>
    <row r="6" spans="1:2" x14ac:dyDescent="0.25">
      <c r="A6" s="5" t="s">
        <v>30</v>
      </c>
      <c r="B6" s="11">
        <f>IFERROR(AVERAGE('Raw Data Collection'!H11:H35),"")</f>
        <v>4.0000000000013358E-3</v>
      </c>
    </row>
    <row r="7" spans="1:2" x14ac:dyDescent="0.25">
      <c r="A7" s="5" t="s">
        <v>31</v>
      </c>
      <c r="B7">
        <f>IFERROR(INDEX('d2 Constants Reference'!$B$2:$B$10,MATCH(B3,'d2 Constants Reference'!$A$2:$A$10,0)),"")</f>
        <v>2.3260000000000001</v>
      </c>
    </row>
    <row r="8" spans="1:2" x14ac:dyDescent="0.25">
      <c r="A8" s="5" t="s">
        <v>32</v>
      </c>
      <c r="B8" s="12">
        <f>IFERROR(B6/B7,"")</f>
        <v>1.719690455718545E-3</v>
      </c>
    </row>
    <row r="9" spans="1:2" x14ac:dyDescent="0.25">
      <c r="A9" s="5" t="s">
        <v>33</v>
      </c>
      <c r="B9" s="12">
        <f>IFERROR(STDEV('Raw Data Collection'!B11:F35),"")</f>
        <v>1.5811388300844369E-3</v>
      </c>
    </row>
    <row r="11" spans="1:2" x14ac:dyDescent="0.25">
      <c r="A11" s="5" t="s">
        <v>34</v>
      </c>
      <c r="B11" s="13">
        <f>IFERROR((B1-B2)/(6*B8),"")</f>
        <v>5.8149999999982782</v>
      </c>
    </row>
    <row r="12" spans="1:2" x14ac:dyDescent="0.25">
      <c r="A12" s="5" t="s">
        <v>35</v>
      </c>
      <c r="B12" s="13">
        <f>IFERROR((B1-B5)/(3*B8),"")</f>
        <v>5.6211666666654612</v>
      </c>
    </row>
    <row r="13" spans="1:2" x14ac:dyDescent="0.25">
      <c r="A13" s="5" t="s">
        <v>36</v>
      </c>
      <c r="B13" s="13">
        <f>IFERROR((B5-B2)/(3*B8),"")</f>
        <v>6.0088333333310953</v>
      </c>
    </row>
    <row r="14" spans="1:2" x14ac:dyDescent="0.25">
      <c r="A14" s="5" t="s">
        <v>37</v>
      </c>
      <c r="B14" s="13">
        <f>IFERROR(MIN(B12,B13),"")</f>
        <v>5.6211666666654612</v>
      </c>
    </row>
    <row r="16" spans="1:2" x14ac:dyDescent="0.25">
      <c r="A16" s="5" t="s">
        <v>38</v>
      </c>
      <c r="B16" s="13">
        <f>IFERROR((B1-B2)/(6*B9),"")</f>
        <v>6.3245553203360094</v>
      </c>
    </row>
    <row r="17" spans="1:2" x14ac:dyDescent="0.25">
      <c r="A17" s="5" t="s">
        <v>39</v>
      </c>
      <c r="B17" s="13">
        <f>IFERROR((B1-B5)/(3*B9),"")</f>
        <v>6.1137368096586417</v>
      </c>
    </row>
    <row r="18" spans="1:2" x14ac:dyDescent="0.25">
      <c r="A18" s="5" t="s">
        <v>40</v>
      </c>
      <c r="B18" s="13">
        <f>IFERROR((B5-B2)/(3*B9),"")</f>
        <v>6.5353738310133771</v>
      </c>
    </row>
    <row r="19" spans="1:2" x14ac:dyDescent="0.25">
      <c r="A19" s="5" t="s">
        <v>41</v>
      </c>
      <c r="B19" s="13">
        <f>IFERROR(MIN(B17,B18),"")</f>
        <v>6.1137368096586417</v>
      </c>
    </row>
    <row r="21" spans="1:2" x14ac:dyDescent="0.25">
      <c r="A21" s="5" t="s">
        <v>102</v>
      </c>
      <c r="B21" s="36">
        <f>IFERROR((B1+B2)/2,"")</f>
        <v>25</v>
      </c>
    </row>
    <row r="22" spans="1:2" x14ac:dyDescent="0.25">
      <c r="A22" s="5" t="s">
        <v>103</v>
      </c>
      <c r="B22" s="37">
        <f>IFERROR((B1-B2)/(6*SQRT(B8^2+(B5-B21)^2)),"")</f>
        <v>5.0268806882605128</v>
      </c>
    </row>
    <row r="23" spans="1:2" ht="30" customHeight="1" x14ac:dyDescent="0.25"/>
    <row r="24" spans="1:2" x14ac:dyDescent="0.25">
      <c r="A24" s="5" t="s">
        <v>104</v>
      </c>
      <c r="B24" s="38">
        <f>IFERROR((_xlfn.NORM.DIST(B2,B5,B8,TRUE)+(1-_xlfn.NORM.DIST(B1,B5,B8,TRUE)))*1000000,"")</f>
        <v>6.03469433490984E-67</v>
      </c>
    </row>
    <row r="25" spans="1:2" x14ac:dyDescent="0.25">
      <c r="A25" s="5" t="s">
        <v>105</v>
      </c>
      <c r="B25" s="38">
        <f>IFERROR((_xlfn.NORM.DIST(B2,B5,B9,TRUE)+(1-_xlfn.NORM.DIST(B1,B5,B9,TRUE)))*1000000,"")</f>
        <v>6.8548256229195296E-80</v>
      </c>
    </row>
    <row r="27" spans="1:2" x14ac:dyDescent="0.25">
      <c r="A27" s="5" t="s">
        <v>106</v>
      </c>
      <c r="B27" s="28" t="str">
        <f>IFERROR(IF(MIN(B12,B13)&gt;=1.67,"Excellent",IF(MIN(B12,B13)&gt;=1.33,"Capable",IF(MIN(B12,B13)&gt;=1,"Marginally capable","Not capable"))),"")</f>
        <v>Excellent</v>
      </c>
    </row>
    <row r="29" spans="1:2" x14ac:dyDescent="0.25">
      <c r="A29" s="39" t="s">
        <v>107</v>
      </c>
    </row>
    <row r="30" spans="1:2" x14ac:dyDescent="0.25">
      <c r="A30" s="4" t="s">
        <v>108</v>
      </c>
    </row>
    <row r="33" spans="1:4" ht="15.75" x14ac:dyDescent="0.25">
      <c r="A33" s="2" t="s">
        <v>109</v>
      </c>
    </row>
    <row r="34" spans="1:4" x14ac:dyDescent="0.25">
      <c r="A34" s="28" t="s">
        <v>110</v>
      </c>
      <c r="B34" s="33">
        <f>IFERROR(MIN('Raw Data Collection'!B11:F40),"")</f>
        <v>24.998999999999999</v>
      </c>
    </row>
    <row r="35" spans="1:4" x14ac:dyDescent="0.25">
      <c r="A35" s="28" t="s">
        <v>111</v>
      </c>
      <c r="B35" s="33">
        <f>IFERROR(MAX('Raw Data Collection'!B11:F40),"")</f>
        <v>25.003</v>
      </c>
    </row>
    <row r="36" spans="1:4" x14ac:dyDescent="0.25">
      <c r="A36" s="28" t="s">
        <v>112</v>
      </c>
      <c r="B36" s="32">
        <v>10</v>
      </c>
    </row>
    <row r="37" spans="1:4" x14ac:dyDescent="0.25">
      <c r="A37" s="28" t="s">
        <v>113</v>
      </c>
      <c r="B37" s="33">
        <f>IFERROR((B35-B34)/B36,"")</f>
        <v>4.0000000000013359E-4</v>
      </c>
    </row>
    <row r="39" spans="1:4" x14ac:dyDescent="0.25">
      <c r="A39" s="35" t="s">
        <v>114</v>
      </c>
      <c r="B39" s="35" t="s">
        <v>115</v>
      </c>
      <c r="C39" s="35" t="s">
        <v>116</v>
      </c>
      <c r="D39" s="35" t="s">
        <v>117</v>
      </c>
    </row>
    <row r="40" spans="1:4" x14ac:dyDescent="0.25">
      <c r="A40" s="41">
        <f>IFERROR(B34,"")</f>
        <v>24.998999999999999</v>
      </c>
      <c r="B40" s="23">
        <f>IFERROR(COUNTIFS('Raw Data Collection'!$B$11:$F$40,"&lt;="&amp;A40),"")</f>
        <v>1</v>
      </c>
      <c r="C40" s="40"/>
      <c r="D40" s="40"/>
    </row>
    <row r="41" spans="1:4" x14ac:dyDescent="0.25">
      <c r="A41" s="41">
        <f>IFERROR(A40+$B$37,"")</f>
        <v>24.999399999999998</v>
      </c>
      <c r="B41" s="23">
        <f>IFERROR(COUNTIFS('Raw Data Collection'!$B$11:$F$40,"&lt;="&amp;A41),"")</f>
        <v>1</v>
      </c>
      <c r="C41" s="23">
        <f>IFERROR(B41-B40,"")</f>
        <v>0</v>
      </c>
      <c r="D41" s="23" t="str">
        <f>IF(OR(A41&gt;$B$1,A40&lt;$B$2),"Yes","No")</f>
        <v>No</v>
      </c>
    </row>
    <row r="42" spans="1:4" x14ac:dyDescent="0.25">
      <c r="A42" s="41">
        <f t="shared" ref="A42:A49" si="0">IFERROR(A41+$B$37,"")</f>
        <v>24.999799999999997</v>
      </c>
      <c r="B42" s="23">
        <f>IFERROR(COUNTIFS('Raw Data Collection'!$B$11:$F$40,"&lt;="&amp;A42),"")</f>
        <v>1</v>
      </c>
      <c r="C42" s="23">
        <f t="shared" ref="C42:C49" si="1">IFERROR(B42-B41,"")</f>
        <v>0</v>
      </c>
      <c r="D42" s="23" t="str">
        <f t="shared" ref="D42:D49" si="2">IF(OR(A42&gt;$B$1,A41&lt;$B$2),"Yes","No")</f>
        <v>No</v>
      </c>
    </row>
    <row r="43" spans="1:4" x14ac:dyDescent="0.25">
      <c r="A43" s="41">
        <f t="shared" si="0"/>
        <v>25.000199999999996</v>
      </c>
      <c r="B43" s="23">
        <f>IFERROR(COUNTIFS('Raw Data Collection'!$B$11:$F$40,"&lt;="&amp;A43),"")</f>
        <v>2</v>
      </c>
      <c r="C43" s="23">
        <f t="shared" si="1"/>
        <v>1</v>
      </c>
      <c r="D43" s="23" t="str">
        <f t="shared" si="2"/>
        <v>No</v>
      </c>
    </row>
    <row r="44" spans="1:4" x14ac:dyDescent="0.25">
      <c r="A44" s="41">
        <f t="shared" si="0"/>
        <v>25.000599999999995</v>
      </c>
      <c r="B44" s="23">
        <f>IFERROR(COUNTIFS('Raw Data Collection'!$B$11:$F$40,"&lt;="&amp;A44),"")</f>
        <v>2</v>
      </c>
      <c r="C44" s="23">
        <f t="shared" si="1"/>
        <v>0</v>
      </c>
      <c r="D44" s="23" t="str">
        <f t="shared" si="2"/>
        <v>No</v>
      </c>
    </row>
    <row r="45" spans="1:4" x14ac:dyDescent="0.25">
      <c r="A45" s="41">
        <f t="shared" si="0"/>
        <v>25.000999999999994</v>
      </c>
      <c r="B45" s="23">
        <f>IFERROR(COUNTIFS('Raw Data Collection'!$B$11:$F$40,"&lt;="&amp;A45),"")</f>
        <v>3</v>
      </c>
      <c r="C45" s="23">
        <f t="shared" si="1"/>
        <v>1</v>
      </c>
      <c r="D45" s="23" t="str">
        <f t="shared" si="2"/>
        <v>No</v>
      </c>
    </row>
    <row r="46" spans="1:4" x14ac:dyDescent="0.25">
      <c r="A46" s="41">
        <f t="shared" si="0"/>
        <v>25.001399999999993</v>
      </c>
      <c r="B46" s="23">
        <f>IFERROR(COUNTIFS('Raw Data Collection'!$B$11:$F$40,"&lt;="&amp;A46),"")</f>
        <v>3</v>
      </c>
      <c r="C46" s="23">
        <f t="shared" si="1"/>
        <v>0</v>
      </c>
      <c r="D46" s="23" t="str">
        <f t="shared" si="2"/>
        <v>No</v>
      </c>
    </row>
    <row r="47" spans="1:4" x14ac:dyDescent="0.25">
      <c r="A47" s="41">
        <f t="shared" si="0"/>
        <v>25.001799999999992</v>
      </c>
      <c r="B47" s="23">
        <f>IFERROR(COUNTIFS('Raw Data Collection'!$B$11:$F$40,"&lt;="&amp;A47),"")</f>
        <v>3</v>
      </c>
      <c r="C47" s="23">
        <f t="shared" si="1"/>
        <v>0</v>
      </c>
      <c r="D47" s="23" t="str">
        <f t="shared" si="2"/>
        <v>No</v>
      </c>
    </row>
    <row r="48" spans="1:4" x14ac:dyDescent="0.25">
      <c r="A48" s="41">
        <f t="shared" si="0"/>
        <v>25.002199999999991</v>
      </c>
      <c r="B48" s="23">
        <f>IFERROR(COUNTIFS('Raw Data Collection'!$B$11:$F$40,"&lt;="&amp;A48),"")</f>
        <v>4</v>
      </c>
      <c r="C48" s="23">
        <f t="shared" si="1"/>
        <v>1</v>
      </c>
      <c r="D48" s="23" t="str">
        <f t="shared" si="2"/>
        <v>No</v>
      </c>
    </row>
    <row r="49" spans="1:4" x14ac:dyDescent="0.25">
      <c r="A49" s="41">
        <f t="shared" si="0"/>
        <v>25.00259999999999</v>
      </c>
      <c r="B49" s="23">
        <f>IFERROR(COUNTIFS('Raw Data Collection'!$B$11:$F$40,"&lt;="&amp;A49),"")</f>
        <v>4</v>
      </c>
      <c r="C49" s="23">
        <f t="shared" si="1"/>
        <v>0</v>
      </c>
      <c r="D49" s="23" t="str">
        <f t="shared" si="2"/>
        <v>No</v>
      </c>
    </row>
  </sheetData>
  <conditionalFormatting sqref="B14">
    <cfRule type="cellIs" dxfId="17" priority="1" operator="greaterThanOrEqual">
      <formula>1.33</formula>
    </cfRule>
  </conditionalFormatting>
  <conditionalFormatting sqref="B14">
    <cfRule type="cellIs" dxfId="16" priority="2" operator="between">
      <formula>1</formula>
      <formula>1.33</formula>
    </cfRule>
  </conditionalFormatting>
  <conditionalFormatting sqref="B14">
    <cfRule type="cellIs" dxfId="15" priority="3" operator="lessThan">
      <formula>1</formula>
    </cfRule>
  </conditionalFormatting>
  <conditionalFormatting sqref="B19">
    <cfRule type="cellIs" dxfId="14" priority="4" operator="greaterThanOrEqual">
      <formula>1.33</formula>
    </cfRule>
  </conditionalFormatting>
  <conditionalFormatting sqref="B19">
    <cfRule type="cellIs" dxfId="13" priority="5" operator="between">
      <formula>1</formula>
      <formula>1.33</formula>
    </cfRule>
  </conditionalFormatting>
  <conditionalFormatting sqref="B19">
    <cfRule type="cellIs" dxfId="12" priority="6" operator="lessThan">
      <formula>1</formula>
    </cfRule>
  </conditionalFormatting>
  <conditionalFormatting sqref="D40:D49">
    <cfRule type="containsText" dxfId="11" priority="7" operator="containsText" text="Yes">
      <formula>NOT(ISERROR(SEARCH("Yes",D40)))</formula>
    </cfRule>
  </conditionalFormatting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showGridLines="0" workbookViewId="0"/>
  </sheetViews>
  <sheetFormatPr defaultRowHeight="15" x14ac:dyDescent="0.25"/>
  <cols>
    <col min="1" max="1" width="19" customWidth="1"/>
    <col min="2" max="5" width="13.28515625" customWidth="1"/>
    <col min="6" max="6" width="11.42578125" customWidth="1"/>
  </cols>
  <sheetData>
    <row r="1" spans="1:6" x14ac:dyDescent="0.25">
      <c r="A1" s="25" t="s">
        <v>6</v>
      </c>
      <c r="B1" s="25" t="s">
        <v>7</v>
      </c>
      <c r="C1" s="25" t="s">
        <v>69</v>
      </c>
      <c r="D1" s="25" t="s">
        <v>70</v>
      </c>
      <c r="E1" s="25" t="s">
        <v>71</v>
      </c>
      <c r="F1" s="25" t="s">
        <v>74</v>
      </c>
    </row>
    <row r="2" spans="1:6" x14ac:dyDescent="0.25">
      <c r="A2" s="3">
        <v>2</v>
      </c>
      <c r="B2" s="3">
        <v>1.1279999999999999</v>
      </c>
      <c r="C2" s="23">
        <v>0</v>
      </c>
      <c r="D2" s="23">
        <v>3.2669999999999999</v>
      </c>
      <c r="E2" s="23">
        <v>0.85299999999999998</v>
      </c>
      <c r="F2" s="23">
        <v>1.88</v>
      </c>
    </row>
    <row r="3" spans="1:6" x14ac:dyDescent="0.25">
      <c r="A3" s="3">
        <v>3</v>
      </c>
      <c r="B3" s="3">
        <v>1.6930000000000001</v>
      </c>
      <c r="C3" s="23">
        <v>0</v>
      </c>
      <c r="D3" s="23">
        <v>2.5739999999999998</v>
      </c>
      <c r="E3" s="23">
        <v>0.88800000000000001</v>
      </c>
      <c r="F3" s="23">
        <v>1.0229999999999999</v>
      </c>
    </row>
    <row r="4" spans="1:6" x14ac:dyDescent="0.25">
      <c r="A4" s="3">
        <v>4</v>
      </c>
      <c r="B4" s="3">
        <v>2.0590000000000002</v>
      </c>
      <c r="C4" s="23">
        <v>0</v>
      </c>
      <c r="D4" s="23">
        <v>2.282</v>
      </c>
      <c r="E4" s="23">
        <v>0.88</v>
      </c>
      <c r="F4" s="23">
        <v>0.72899999999999998</v>
      </c>
    </row>
    <row r="5" spans="1:6" x14ac:dyDescent="0.25">
      <c r="A5" s="3">
        <v>5</v>
      </c>
      <c r="B5" s="3">
        <v>2.3260000000000001</v>
      </c>
      <c r="C5" s="24">
        <v>0</v>
      </c>
      <c r="D5" s="23">
        <v>2.1139999999999999</v>
      </c>
      <c r="E5" s="23">
        <v>0.86399999999999999</v>
      </c>
      <c r="F5" s="23">
        <v>0.57699999999999996</v>
      </c>
    </row>
    <row r="6" spans="1:6" x14ac:dyDescent="0.25">
      <c r="A6" s="3">
        <v>6</v>
      </c>
      <c r="B6" s="3">
        <v>2.5339999999999998</v>
      </c>
      <c r="C6" s="24">
        <v>0</v>
      </c>
      <c r="D6" s="23">
        <v>2.004</v>
      </c>
      <c r="E6" s="23">
        <v>0.84799999999999998</v>
      </c>
      <c r="F6" s="23">
        <v>0.48299999999999998</v>
      </c>
    </row>
    <row r="7" spans="1:6" x14ac:dyDescent="0.25">
      <c r="A7" s="3">
        <v>7</v>
      </c>
      <c r="B7" s="3">
        <v>2.7040000000000002</v>
      </c>
      <c r="C7" s="24">
        <v>7.5999999999999998E-2</v>
      </c>
      <c r="D7" s="23">
        <v>1.9239999999999999</v>
      </c>
      <c r="E7" s="23">
        <v>0.83299999999999996</v>
      </c>
      <c r="F7" s="23">
        <v>0.41899999999999998</v>
      </c>
    </row>
    <row r="8" spans="1:6" x14ac:dyDescent="0.25">
      <c r="A8" s="3">
        <v>8</v>
      </c>
      <c r="B8" s="3">
        <v>2.847</v>
      </c>
      <c r="C8" s="23">
        <v>0.13600000000000001</v>
      </c>
      <c r="D8" s="23">
        <v>1.8640000000000001</v>
      </c>
      <c r="E8" s="23">
        <v>0.82</v>
      </c>
      <c r="F8" s="23">
        <v>0.373</v>
      </c>
    </row>
    <row r="9" spans="1:6" x14ac:dyDescent="0.25">
      <c r="A9" s="3">
        <v>9</v>
      </c>
      <c r="B9" s="3">
        <v>2.97</v>
      </c>
      <c r="C9" s="23">
        <v>0.184</v>
      </c>
      <c r="D9" s="23">
        <v>1.8160000000000001</v>
      </c>
      <c r="E9" s="23">
        <v>0.80800000000000005</v>
      </c>
      <c r="F9" s="23">
        <v>0.33700000000000002</v>
      </c>
    </row>
    <row r="10" spans="1:6" x14ac:dyDescent="0.25">
      <c r="A10" s="3">
        <v>10</v>
      </c>
      <c r="B10" s="3">
        <v>3.0779999999999998</v>
      </c>
      <c r="C10" s="23">
        <v>0.223</v>
      </c>
      <c r="D10" s="23">
        <v>1.7769999999999999</v>
      </c>
      <c r="E10" s="23">
        <v>0.79700000000000004</v>
      </c>
      <c r="F10" s="23">
        <v>0.308</v>
      </c>
    </row>
    <row r="11" spans="1:6" x14ac:dyDescent="0.25">
      <c r="A11" s="23">
        <v>11</v>
      </c>
      <c r="B11" s="23">
        <v>3.173</v>
      </c>
      <c r="C11" s="23">
        <v>0.25600000000000001</v>
      </c>
      <c r="D11" s="23">
        <v>1.744</v>
      </c>
      <c r="E11" s="23">
        <v>0.78700000000000003</v>
      </c>
      <c r="F11" s="23">
        <v>0.28499999999999998</v>
      </c>
    </row>
    <row r="12" spans="1:6" x14ac:dyDescent="0.25">
      <c r="A12" s="26">
        <v>12</v>
      </c>
      <c r="B12" s="23">
        <v>3.258</v>
      </c>
      <c r="C12" s="23">
        <v>0.28299999999999997</v>
      </c>
      <c r="D12" s="23">
        <v>1.7170000000000001</v>
      </c>
      <c r="E12" s="23">
        <v>0.77800000000000002</v>
      </c>
      <c r="F12" s="23">
        <v>0.26600000000000001</v>
      </c>
    </row>
    <row r="13" spans="1:6" x14ac:dyDescent="0.25">
      <c r="A13" s="23">
        <v>13</v>
      </c>
      <c r="B13" s="23">
        <v>3.3359999999999999</v>
      </c>
      <c r="C13" s="23">
        <v>0.307</v>
      </c>
      <c r="D13" s="23">
        <v>1.6930000000000001</v>
      </c>
      <c r="E13" s="23">
        <v>0.77</v>
      </c>
      <c r="F13" s="23">
        <v>0.249</v>
      </c>
    </row>
    <row r="14" spans="1:6" x14ac:dyDescent="0.25">
      <c r="A14" s="23">
        <v>14</v>
      </c>
      <c r="B14" s="23">
        <v>3.407</v>
      </c>
      <c r="C14" s="23">
        <v>0.32800000000000001</v>
      </c>
      <c r="D14" s="23">
        <v>1.6719999999999999</v>
      </c>
      <c r="E14" s="23">
        <v>0.76300000000000001</v>
      </c>
      <c r="F14" s="23">
        <v>0.23499999999999999</v>
      </c>
    </row>
    <row r="15" spans="1:6" x14ac:dyDescent="0.25">
      <c r="A15" s="23">
        <v>15</v>
      </c>
      <c r="B15" s="23">
        <v>3.472</v>
      </c>
      <c r="C15" s="23">
        <v>0.34699999999999998</v>
      </c>
      <c r="D15" s="23">
        <v>1.653</v>
      </c>
      <c r="E15" s="23">
        <v>0.75600000000000001</v>
      </c>
      <c r="F15" s="23">
        <v>0.223</v>
      </c>
    </row>
    <row r="16" spans="1:6" x14ac:dyDescent="0.25">
      <c r="A16" s="23">
        <v>16</v>
      </c>
      <c r="B16" s="23">
        <v>3.532</v>
      </c>
      <c r="C16" s="23">
        <v>0.36299999999999999</v>
      </c>
      <c r="D16" s="23">
        <v>1.637</v>
      </c>
      <c r="E16" s="23">
        <v>0.75</v>
      </c>
      <c r="F16" s="23">
        <v>0.21199999999999999</v>
      </c>
    </row>
    <row r="17" spans="1:6" x14ac:dyDescent="0.25">
      <c r="A17" s="23">
        <v>17</v>
      </c>
      <c r="B17" s="23">
        <v>3.5880000000000001</v>
      </c>
      <c r="C17" s="23">
        <v>0.378</v>
      </c>
      <c r="D17" s="23">
        <v>1.6220000000000001</v>
      </c>
      <c r="E17" s="23">
        <v>0.74399999999999999</v>
      </c>
      <c r="F17" s="23">
        <v>0.20300000000000001</v>
      </c>
    </row>
    <row r="18" spans="1:6" x14ac:dyDescent="0.25">
      <c r="A18" s="23">
        <v>18</v>
      </c>
      <c r="B18" s="23">
        <v>3.64</v>
      </c>
      <c r="C18" s="23">
        <v>0.39100000000000001</v>
      </c>
      <c r="D18" s="23">
        <v>1.6080000000000001</v>
      </c>
      <c r="E18" s="23">
        <v>0.73899999999999999</v>
      </c>
      <c r="F18" s="23">
        <v>0.19400000000000001</v>
      </c>
    </row>
    <row r="19" spans="1:6" x14ac:dyDescent="0.25">
      <c r="A19" s="23">
        <v>19</v>
      </c>
      <c r="B19" s="23">
        <v>3.6890000000000001</v>
      </c>
      <c r="C19" s="23">
        <v>0.40300000000000002</v>
      </c>
      <c r="D19" s="23">
        <v>1.597</v>
      </c>
      <c r="E19" s="23">
        <v>0.73399999999999999</v>
      </c>
      <c r="F19" s="23">
        <v>0.187</v>
      </c>
    </row>
    <row r="20" spans="1:6" x14ac:dyDescent="0.25">
      <c r="A20" s="23">
        <v>20</v>
      </c>
      <c r="B20" s="23">
        <v>3.7349999999999999</v>
      </c>
      <c r="C20" s="23">
        <v>0.41499999999999998</v>
      </c>
      <c r="D20" s="23">
        <v>1.585</v>
      </c>
      <c r="E20" s="23">
        <v>0.72899999999999998</v>
      </c>
      <c r="F20" s="23">
        <v>0.18</v>
      </c>
    </row>
    <row r="21" spans="1:6" x14ac:dyDescent="0.25">
      <c r="A21" s="23">
        <v>21</v>
      </c>
      <c r="B21" s="23">
        <v>3.778</v>
      </c>
      <c r="C21" s="23">
        <v>0.42499999999999999</v>
      </c>
      <c r="D21" s="23">
        <v>1.575</v>
      </c>
      <c r="E21" s="23">
        <v>0.72399999999999998</v>
      </c>
      <c r="F21" s="23">
        <v>0.17299999999999999</v>
      </c>
    </row>
    <row r="22" spans="1:6" x14ac:dyDescent="0.25">
      <c r="A22" s="23">
        <v>22</v>
      </c>
      <c r="B22" s="23">
        <v>3.819</v>
      </c>
      <c r="C22" s="23">
        <v>0.434</v>
      </c>
      <c r="D22" s="23">
        <v>1.5660000000000001</v>
      </c>
      <c r="E22" s="23">
        <v>0.72</v>
      </c>
      <c r="F22" s="23">
        <v>0.16700000000000001</v>
      </c>
    </row>
    <row r="23" spans="1:6" x14ac:dyDescent="0.25">
      <c r="A23" s="23">
        <v>23</v>
      </c>
      <c r="B23" s="23">
        <v>3.8580000000000001</v>
      </c>
      <c r="C23" s="23">
        <v>0.443</v>
      </c>
      <c r="D23" s="23">
        <v>1.5569999999999999</v>
      </c>
      <c r="E23" s="23">
        <v>0.71599999999999997</v>
      </c>
      <c r="F23" s="23">
        <v>0.16200000000000001</v>
      </c>
    </row>
    <row r="24" spans="1:6" x14ac:dyDescent="0.25">
      <c r="A24" s="23">
        <v>24</v>
      </c>
      <c r="B24" s="23">
        <v>3.895</v>
      </c>
      <c r="C24" s="23">
        <v>0.45200000000000001</v>
      </c>
      <c r="D24" s="23">
        <v>1.548</v>
      </c>
      <c r="E24" s="23">
        <v>0.71199999999999997</v>
      </c>
      <c r="F24" s="23">
        <v>0.157</v>
      </c>
    </row>
    <row r="25" spans="1:6" x14ac:dyDescent="0.25">
      <c r="A25" s="23">
        <v>25</v>
      </c>
      <c r="B25" s="23">
        <v>3.931</v>
      </c>
      <c r="C25" s="23">
        <v>0.45900000000000002</v>
      </c>
      <c r="D25" s="23">
        <v>1.5409999999999999</v>
      </c>
      <c r="E25" s="23">
        <v>0.70799999999999996</v>
      </c>
      <c r="F25" s="23">
        <v>0.153</v>
      </c>
    </row>
    <row r="27" spans="1:6" x14ac:dyDescent="0.25">
      <c r="A27" s="4" t="s">
        <v>75</v>
      </c>
    </row>
    <row r="28" spans="1:6" x14ac:dyDescent="0.25">
      <c r="A28" s="4" t="s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How-To</vt:lpstr>
      <vt:lpstr>Dashboard</vt:lpstr>
      <vt:lpstr>Raw Data Collection</vt:lpstr>
      <vt:lpstr>X-bar R Control Chart</vt:lpstr>
      <vt:lpstr>Capability Calculations</vt:lpstr>
      <vt:lpstr>d2 Constants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2026-09-05T06:12:28Z</dcterms:created>
  <dcterms:modified xsi:type="dcterms:W3CDTF">2026-09-05T21:34:08Z</dcterms:modified>
</cp:coreProperties>
</file>